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Shared drives\Budget Team Drive\_Quarterly Mgt Rpts\Prior Years\2023-24\Q1\"/>
    </mc:Choice>
  </mc:AlternateContent>
  <xr:revisionPtr revIDLastSave="0" documentId="13_ncr:1_{99CEFFF6-96E0-4509-AA1D-8E52A3DF401F}" xr6:coauthVersionLast="47" xr6:coauthVersionMax="47" xr10:uidLastSave="{00000000-0000-0000-0000-000000000000}"/>
  <bookViews>
    <workbookView xWindow="-120" yWindow="-120" windowWidth="29040" windowHeight="15720" activeTab="1" xr2:uid="{00000000-000D-0000-FFFF-FFFF00000000}"/>
  </bookViews>
  <sheets>
    <sheet name="Glossary" sheetId="1" r:id="rId1"/>
    <sheet name="Report" sheetId="2" r:id="rId2"/>
    <sheet name="Projected YE Balances" sheetId="3" r:id="rId3"/>
    <sheet name="Data" sheetId="4" state="hidden" r:id="rId4"/>
    <sheet name="Data." sheetId="5" r:id="rId5"/>
  </sheets>
  <definedNames>
    <definedName name="Slicer_Fund">#REF!</definedName>
    <definedName name="Slicer_Fund_Group">#REF!</definedName>
    <definedName name="Slicer_Fund_Group1">#N/A</definedName>
    <definedName name="Slicer_Fund1">#N/A</definedName>
  </definedNames>
  <calcPr calcId="191029"/>
  <pivotCaches>
    <pivotCache cacheId="17"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6gqZza38GD2Gy8AjZ58hZ8IOjQPzEjSuUKjmt3gxrhg="/>
    </ext>
  </extLst>
</workbook>
</file>

<file path=xl/calcChain.xml><?xml version="1.0" encoding="utf-8"?>
<calcChain xmlns="http://schemas.openxmlformats.org/spreadsheetml/2006/main">
  <c r="D11" i="3" l="1"/>
  <c r="F11" i="3" s="1"/>
  <c r="D6" i="3"/>
  <c r="D5" i="3" s="1"/>
  <c r="M73" i="3"/>
  <c r="I73" i="3"/>
  <c r="H73" i="3"/>
  <c r="D72" i="3"/>
  <c r="F72" i="3" s="1"/>
  <c r="D71" i="3"/>
  <c r="D70" i="3" s="1"/>
  <c r="B70" i="3"/>
  <c r="D69" i="3"/>
  <c r="F69" i="3" s="1"/>
  <c r="D68" i="3"/>
  <c r="F68" i="3" s="1"/>
  <c r="F67" i="3" s="1"/>
  <c r="K67" i="3" s="1"/>
  <c r="B67" i="3"/>
  <c r="D66" i="3"/>
  <c r="F66" i="3" s="1"/>
  <c r="D65" i="3"/>
  <c r="F65" i="3" s="1"/>
  <c r="D64" i="3"/>
  <c r="F64" i="3" s="1"/>
  <c r="D63" i="3"/>
  <c r="F63" i="3" s="1"/>
  <c r="D62" i="3"/>
  <c r="F62" i="3" s="1"/>
  <c r="D61" i="3"/>
  <c r="F61" i="3" s="1"/>
  <c r="B60" i="3"/>
  <c r="D59" i="3"/>
  <c r="F59" i="3" s="1"/>
  <c r="F58" i="3" s="1"/>
  <c r="N58" i="3" s="1"/>
  <c r="B58" i="3"/>
  <c r="D57" i="3"/>
  <c r="F57" i="3" s="1"/>
  <c r="F56" i="3" s="1"/>
  <c r="N56" i="3" s="1"/>
  <c r="B56" i="3"/>
  <c r="D55" i="3"/>
  <c r="D54" i="3" s="1"/>
  <c r="B54" i="3"/>
  <c r="D53" i="3"/>
  <c r="F53" i="3" s="1"/>
  <c r="F52" i="3" s="1"/>
  <c r="L52" i="3" s="1"/>
  <c r="B52" i="3"/>
  <c r="D51" i="3"/>
  <c r="D50" i="3" s="1"/>
  <c r="B50" i="3"/>
  <c r="D49" i="3"/>
  <c r="F49" i="3" s="1"/>
  <c r="D48" i="3"/>
  <c r="F48" i="3" s="1"/>
  <c r="F47" i="3" s="1"/>
  <c r="L47" i="3" s="1"/>
  <c r="B47" i="3"/>
  <c r="D46" i="3"/>
  <c r="D45" i="3" s="1"/>
  <c r="B45" i="3"/>
  <c r="D44" i="3"/>
  <c r="F44" i="3" s="1"/>
  <c r="F43" i="3" s="1"/>
  <c r="K43" i="3" s="1"/>
  <c r="B43" i="3"/>
  <c r="D42" i="3"/>
  <c r="F42" i="3" s="1"/>
  <c r="D41" i="3"/>
  <c r="F41" i="3" s="1"/>
  <c r="D40" i="3"/>
  <c r="D39" i="3" s="1"/>
  <c r="B39" i="3"/>
  <c r="D38" i="3"/>
  <c r="F38" i="3" s="1"/>
  <c r="D37" i="3"/>
  <c r="F37" i="3" s="1"/>
  <c r="D36" i="3"/>
  <c r="F36" i="3" s="1"/>
  <c r="D35" i="3"/>
  <c r="F35" i="3" s="1"/>
  <c r="D34" i="3"/>
  <c r="F34" i="3" s="1"/>
  <c r="D33" i="3"/>
  <c r="F33" i="3" s="1"/>
  <c r="D32" i="3"/>
  <c r="F32" i="3" s="1"/>
  <c r="D31" i="3"/>
  <c r="F31" i="3" s="1"/>
  <c r="B30" i="3"/>
  <c r="D29" i="3"/>
  <c r="F29" i="3" s="1"/>
  <c r="D28" i="3"/>
  <c r="D27" i="3" s="1"/>
  <c r="B27" i="3"/>
  <c r="D26" i="3"/>
  <c r="F26" i="3" s="1"/>
  <c r="D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D12" i="3"/>
  <c r="F12" i="3" s="1"/>
  <c r="D10" i="3"/>
  <c r="F10" i="3" s="1"/>
  <c r="D9" i="3"/>
  <c r="F9" i="3" s="1"/>
  <c r="D8" i="3"/>
  <c r="B7" i="3"/>
  <c r="B5" i="3"/>
  <c r="I5" i="2"/>
  <c r="H5" i="2"/>
  <c r="C5" i="2"/>
  <c r="B5" i="2"/>
  <c r="D7" i="2"/>
  <c r="F7" i="2"/>
  <c r="E7" i="2"/>
  <c r="H7" i="2"/>
  <c r="I7" i="2"/>
  <c r="B7" i="2"/>
  <c r="C7" i="2"/>
  <c r="G7" i="2"/>
  <c r="B73" i="3" l="1"/>
  <c r="D7" i="3"/>
  <c r="F6" i="3"/>
  <c r="F5" i="3" s="1"/>
  <c r="K73" i="3"/>
  <c r="F30" i="3"/>
  <c r="J30" i="3" s="1"/>
  <c r="J73" i="3" s="1"/>
  <c r="F60" i="3"/>
  <c r="N60" i="3" s="1"/>
  <c r="F8" i="3"/>
  <c r="F7" i="3" s="1"/>
  <c r="F28" i="3"/>
  <c r="F27" i="3" s="1"/>
  <c r="L27" i="3" s="1"/>
  <c r="F40" i="3"/>
  <c r="F39" i="3" s="1"/>
  <c r="L39" i="3" s="1"/>
  <c r="F55" i="3"/>
  <c r="F54" i="3" s="1"/>
  <c r="N54" i="3" s="1"/>
  <c r="N73" i="3" s="1"/>
  <c r="D60" i="3"/>
  <c r="F71" i="3"/>
  <c r="F70" i="3" s="1"/>
  <c r="F46" i="3"/>
  <c r="F45" i="3" s="1"/>
  <c r="L45" i="3" s="1"/>
  <c r="F51" i="3"/>
  <c r="F50" i="3" s="1"/>
  <c r="L50" i="3" s="1"/>
  <c r="D56" i="3"/>
  <c r="D67" i="3"/>
  <c r="D73" i="3" s="1"/>
  <c r="D30" i="3"/>
  <c r="D47" i="3"/>
  <c r="D52" i="3"/>
  <c r="D43" i="3"/>
  <c r="D58" i="3"/>
  <c r="L70" i="3" l="1"/>
  <c r="F73" i="3"/>
  <c r="L7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200-000001000000}">
      <text>
        <r>
          <rPr>
            <sz val="11"/>
            <color rgb="FF000000"/>
            <rFont val="Calibri"/>
            <scheme val="minor"/>
          </rPr>
          <t>======
ID#AAABXwM2Tu8
pmo6    (2024-10-24 20:34:31)
plug ~$2.2m encumbrance for ending balance to agree to operating fund report</t>
        </r>
      </text>
    </comment>
  </commentList>
  <extLst>
    <ext xmlns:r="http://schemas.openxmlformats.org/officeDocument/2006/relationships" uri="GoogleSheetsCustomDataVersion2">
      <go:sheetsCustomData xmlns:go="http://customooxmlschemas.google.com/" r:id="rId1" roundtripDataSignature="AMtx7mjz2+D9K4lFt3rUvG19U512bnwKHQ=="/>
    </ext>
  </extLst>
</comments>
</file>

<file path=xl/sharedStrings.xml><?xml version="1.0" encoding="utf-8"?>
<sst xmlns="http://schemas.openxmlformats.org/spreadsheetml/2006/main" count="747" uniqueCount="146">
  <si>
    <t>Glossary</t>
  </si>
  <si>
    <t>Budget</t>
  </si>
  <si>
    <t>{a}</t>
  </si>
  <si>
    <r>
      <rPr>
        <b/>
        <u/>
        <sz val="10"/>
        <color theme="1"/>
        <rFont val="Arial"/>
        <family val="2"/>
      </rPr>
      <t>Original / Base</t>
    </r>
    <r>
      <rPr>
        <sz val="10"/>
        <color theme="1"/>
        <rFont val="Arial"/>
        <family val="2"/>
      </rPr>
      <t xml:space="preserve"> - Also commonly referred to as original budget, is the initial budget/plan established at the beginning of the fiscal year. Positive balances reflect revenues are expected to exceed expenses while the opposite is true for negative balances.</t>
    </r>
  </si>
  <si>
    <t>{b}</t>
  </si>
  <si>
    <r>
      <rPr>
        <b/>
        <u/>
        <sz val="10"/>
        <color theme="1"/>
        <rFont val="Arial"/>
        <family val="2"/>
      </rPr>
      <t>Final Budget</t>
    </r>
    <r>
      <rPr>
        <sz val="10"/>
        <color theme="1"/>
        <rFont val="Arial"/>
        <family val="2"/>
      </rPr>
      <t xml:space="preserve"> - Includes original budget as well as all revisions throughout the year. For select funds such as the HM500 - Operating Fund, rollforward and encumbrance expense balances from the prior year are included in this column.</t>
    </r>
  </si>
  <si>
    <t>Projections</t>
  </si>
  <si>
    <t>{c}</t>
  </si>
  <si>
    <r>
      <rPr>
        <b/>
        <u/>
        <sz val="10"/>
        <color theme="1"/>
        <rFont val="Arial"/>
        <family val="2"/>
      </rPr>
      <t>Final Projection</t>
    </r>
    <r>
      <rPr>
        <sz val="10"/>
        <color theme="1"/>
        <rFont val="Arial"/>
        <family val="2"/>
      </rPr>
      <t xml:space="preserve"> - Final Projections is the projected year-end net total (revenue - expenses). When expenses exceed revenues (negative balances) reserves will need to be leveraged.</t>
    </r>
  </si>
  <si>
    <t>{d}</t>
  </si>
  <si>
    <r>
      <rPr>
        <b/>
        <u/>
        <sz val="10"/>
        <color theme="1"/>
        <rFont val="Arial"/>
        <family val="2"/>
      </rPr>
      <t>Projected Balance</t>
    </r>
    <r>
      <rPr>
        <sz val="10"/>
        <color theme="1"/>
        <rFont val="Arial"/>
        <family val="2"/>
      </rPr>
      <t xml:space="preserve"> - Projected Balance is the expected performance against the final budget. For positive balances, final projections are expected to perform better than the final budget and a signal the plan is still pertinent. Negative balances suggests the contrary.</t>
    </r>
  </si>
  <si>
    <r>
      <rPr>
        <b/>
        <u/>
        <sz val="10"/>
        <color theme="1"/>
        <rFont val="Arial"/>
        <family val="2"/>
      </rPr>
      <t>Please note:</t>
    </r>
    <r>
      <rPr>
        <sz val="10"/>
        <color theme="1"/>
        <rFont val="Arial"/>
        <family val="2"/>
      </rPr>
      <t xml:space="preserve"> Some areas have a stateside Operating Fund (HM500 fund) footprint as well as self support operations. To view their stateside Operating Fund financials please see the </t>
    </r>
    <r>
      <rPr>
        <i/>
        <u/>
        <sz val="10"/>
        <color theme="1"/>
        <rFont val="Arial"/>
        <family val="2"/>
      </rPr>
      <t>2023-24 Q1 - Cal Poly Humboldt Operating Fund Financial Review</t>
    </r>
    <r>
      <rPr>
        <sz val="10"/>
        <color theme="1"/>
        <rFont val="Arial"/>
        <family val="2"/>
      </rPr>
      <t xml:space="preserve"> report.</t>
    </r>
  </si>
  <si>
    <t>Areas with a stateside Operating Fund (HM500) footprint</t>
  </si>
  <si>
    <t>Athletics &amp; Campus Recreation</t>
  </si>
  <si>
    <t>Student Health &amp; Wellbeing</t>
  </si>
  <si>
    <t>Children's Center</t>
  </si>
  <si>
    <t>Student Activites Center</t>
  </si>
  <si>
    <t>College of Ext Ed Global Engag (CEEGE)</t>
  </si>
  <si>
    <t>2023-24 Cal Poly Humboldt Campus Wide Operating Funds Q1 Financial Review</t>
  </si>
  <si>
    <t>Use the Slicer below to filter the pivot by Fund Group</t>
  </si>
  <si>
    <t>Budget Year</t>
  </si>
  <si>
    <t>2023 - 2024</t>
  </si>
  <si>
    <t>As Of Date</t>
  </si>
  <si>
    <t>See glossary tab for notes</t>
  </si>
  <si>
    <t>Original / Base</t>
  </si>
  <si>
    <t>Final Budget</t>
  </si>
  <si>
    <t>Actuals</t>
  </si>
  <si>
    <t>Encumbrances</t>
  </si>
  <si>
    <t>YTDTotal</t>
  </si>
  <si>
    <t>YTD Balance</t>
  </si>
  <si>
    <t>Final Projection</t>
  </si>
  <si>
    <t>Projected Balance</t>
  </si>
  <si>
    <t>Grand Total</t>
  </si>
  <si>
    <t>Use the plus (+) to drill down into fund detail</t>
  </si>
  <si>
    <t>Budget thru 9/30</t>
  </si>
  <si>
    <t>Account Type</t>
  </si>
  <si>
    <t>Fund Group</t>
  </si>
  <si>
    <t>Fund</t>
  </si>
  <si>
    <t>Expenses</t>
  </si>
  <si>
    <t>Operating Fund</t>
  </si>
  <si>
    <t>HM500 - OPERATING FUND</t>
  </si>
  <si>
    <t>Operating Fund Total</t>
  </si>
  <si>
    <t>Expenses Total</t>
  </si>
  <si>
    <t>Revenues</t>
  </si>
  <si>
    <t>Revenues Total</t>
  </si>
  <si>
    <t>Use the Slicer below to filter the pivot by Fund</t>
  </si>
  <si>
    <t>Projected Year-End Reserve Balances</t>
  </si>
  <si>
    <t>Operating Reserve Balances By Division</t>
  </si>
  <si>
    <t>Fund Type / Fund</t>
  </si>
  <si>
    <t>Beginning Balance</t>
  </si>
  <si>
    <t>Projected Year-End Surplus/(Deficit)</t>
  </si>
  <si>
    <t>Ending Balance **</t>
  </si>
  <si>
    <t>President</t>
  </si>
  <si>
    <t>University Advancement</t>
  </si>
  <si>
    <t>Academic Affairs</t>
  </si>
  <si>
    <t>Administrative Affairs</t>
  </si>
  <si>
    <t>Enrollment Management</t>
  </si>
  <si>
    <t>Athletics and Recreation</t>
  </si>
  <si>
    <t>University Wide</t>
  </si>
  <si>
    <t>*</t>
  </si>
  <si>
    <t>Athletics (Self Support/Auxiliary)</t>
  </si>
  <si>
    <t>A0051 - ATHLETICS TRUST</t>
  </si>
  <si>
    <t>A0053 - VOLLEYBALL PROGRAM</t>
  </si>
  <si>
    <t>A0054 - MENS CROSS COUNTRY PROGRAM</t>
  </si>
  <si>
    <t>A0055 - WOMENS CROSS COUNTRY PROGRAM</t>
  </si>
  <si>
    <t>A0056 - MENS SOCCER PROGRAM</t>
  </si>
  <si>
    <t>A0057 - WOMENS SOCCER PROGRAM</t>
  </si>
  <si>
    <t>A0058 - MEN'S BASKETBALL PROGRAM</t>
  </si>
  <si>
    <t>A0059 - WOMEN'S BASKETBALL PROGRAM</t>
  </si>
  <si>
    <t>A0060 - MENS TRACK &amp; FIELD PROGRAM</t>
  </si>
  <si>
    <t>A0061 - WOMENS TRACK &amp; FIELD PROGRAM</t>
  </si>
  <si>
    <t>A0062 - WOMENS ROWING PROGRAM</t>
  </si>
  <si>
    <t>A0063 - WOMENS SOFTBALL PROGRAM</t>
  </si>
  <si>
    <t>A0064 - WOMENS TRIATHLON</t>
  </si>
  <si>
    <t>HC101 - CAMPUS REC TRUST FUND</t>
  </si>
  <si>
    <t>HX101 - CAMPUS REC MISC REV TRUST</t>
  </si>
  <si>
    <t>TO120 - IRA ATHLETICS FUND</t>
  </si>
  <si>
    <t>TX001 - INTERCOLLEGIATE ATHLETICS TR</t>
  </si>
  <si>
    <t>TX005 - RECREATIONAL SPORTS TR</t>
  </si>
  <si>
    <t>TX108 - S+G NCAA/ATHLTC SCHLRSHP ADMIN</t>
  </si>
  <si>
    <t>Bookstore</t>
  </si>
  <si>
    <t>TV061 - BOOKSTORE TRUST FUND</t>
  </si>
  <si>
    <t>TV062 - EUREKA STORE TRUST FUND</t>
  </si>
  <si>
    <t>CEEGE</t>
  </si>
  <si>
    <t>TL001 - EXTENDED EDUCATION</t>
  </si>
  <si>
    <t>TL005 - EXT ED INTERNATIONAL PROGRAM</t>
  </si>
  <si>
    <t>TL006 - EXT ED EARLY START PROGRAM</t>
  </si>
  <si>
    <t>TL201 - CEEE SOCIAL WORK MSW</t>
  </si>
  <si>
    <t>TL202 - CEEE APPLIED ANTHROPOLOGY MA</t>
  </si>
  <si>
    <t>TL301 - CEEE LEADERSHIP STUDIES BA</t>
  </si>
  <si>
    <t>TL401 - CEEE GEOSPATIAL CERTIFICATE</t>
  </si>
  <si>
    <t>TL501 - PACE REVENUE SHARING</t>
  </si>
  <si>
    <t>TP004 - C+G HSU CHILDRENS CTR</t>
  </si>
  <si>
    <t>TP060 - C+G CC EARLY HEAD START</t>
  </si>
  <si>
    <t>TV020 - OT CPH CHLD CENTER TRUST</t>
  </si>
  <si>
    <t>Construction Administration</t>
  </si>
  <si>
    <t>HM542 - CONSTRUCTION ADMINISTRATION</t>
  </si>
  <si>
    <t>Dining</t>
  </si>
  <si>
    <t>HA110 - DINING SERVICES</t>
  </si>
  <si>
    <t>Student Health &amp; Wellbeing Services</t>
  </si>
  <si>
    <t>HM505 - HEALTH SERVICE OPERATING FUND</t>
  </si>
  <si>
    <t>HM506 - AUGMENTED HEALTH SERVICES</t>
  </si>
  <si>
    <t>Health Facilities</t>
  </si>
  <si>
    <t>TM001 - HEALTH FACILITIES</t>
  </si>
  <si>
    <t>Housing</t>
  </si>
  <si>
    <t>HA100 - HOUSING TRUST FUND</t>
  </si>
  <si>
    <t>IRA Committee Fund</t>
  </si>
  <si>
    <t>***</t>
  </si>
  <si>
    <t>TO140 - IRA COMMITTEE FUND</t>
  </si>
  <si>
    <t>IRA Humboldt Energy Indepndnc</t>
  </si>
  <si>
    <t>TO110 - SUSTAIN HUM INNOVATION FUTURES</t>
  </si>
  <si>
    <t>IRA Jack Pass</t>
  </si>
  <si>
    <t>TO130 - IRA JACK PASS FUND</t>
  </si>
  <si>
    <t>Lottery</t>
  </si>
  <si>
    <t>TU001 - LOTTERY-LEF</t>
  </si>
  <si>
    <t>TU005 - LOTTERY - FUTURE SCHOLAR</t>
  </si>
  <si>
    <t>TU006 - LOTTERY - INSTR DISCRET</t>
  </si>
  <si>
    <t>TU007 - LOTTERY - ACCESS &amp; ACAD DEVELP</t>
  </si>
  <si>
    <t>TU008 - LOTTERY - TEACHER RECRUITMT</t>
  </si>
  <si>
    <t>TU009 - LOTTERY -PRE DOCTORAL PROG</t>
  </si>
  <si>
    <t>Parking</t>
  </si>
  <si>
    <t>TS001 - PARKING FINES + FORFEITURES</t>
  </si>
  <si>
    <t>TS003 - PARKING FEES</t>
  </si>
  <si>
    <t>Student Activity Center</t>
  </si>
  <si>
    <t>HC100 - STUDENT ACTIVITIES CTR TRUST</t>
  </si>
  <si>
    <t>HX100 - SAC CENTER ARTS MISC REV TRUST</t>
  </si>
  <si>
    <t>Operating fund (HM500) projected divisional year-end balances</t>
  </si>
  <si>
    <t>**</t>
  </si>
  <si>
    <t>Reserve balance includes encumbrance activity in process</t>
  </si>
  <si>
    <t>The IRA Reserve is the “savings account” for IRA Programs across several divisions. It is to be used to address contingencies, emergencies, budgetary impacts such as an unanticipated shortfall in projected enrollment, and other non-routine expenditures.</t>
  </si>
  <si>
    <t>Orig Base</t>
  </si>
  <si>
    <t>Adj Bud</t>
  </si>
  <si>
    <t>Final Bud</t>
  </si>
  <si>
    <t>Actual</t>
  </si>
  <si>
    <t>Encumb</t>
  </si>
  <si>
    <t>YTD Total</t>
  </si>
  <si>
    <t>YTD Bal</t>
  </si>
  <si>
    <t>YTD %</t>
  </si>
  <si>
    <t>Projection</t>
  </si>
  <si>
    <t>Projection Adj</t>
  </si>
  <si>
    <t>Final Proj</t>
  </si>
  <si>
    <t>Proj Bal</t>
  </si>
  <si>
    <t xml:space="preserve">Proj % </t>
  </si>
  <si>
    <t>Athletics</t>
  </si>
  <si>
    <t>IRA Sustainable Innovation Futures Trust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</si>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</sst>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10409]#,###;\(#,###\);\-"/>
    <numFmt numFmtId="166" formatCode="[$-10409]#,###.0%;\(#,###.0\)%;\-"/>
  </numFmts>
  <fonts count="25" x14ac:knownFonts="1">
    <font>
      <sz val="11"/>
      <color rgb="FF000000"/>
      <name val="Calibri"/>
      <scheme val="minor"/>
    </font>
    <font>
      <b/>
      <sz val="14"/>
      <color theme="1"/>
      <name val="Arial"/>
      <family val="2"/>
    </font>
    <font>
      <sz val="10"/>
      <color theme="1"/>
      <name val="Arial"/>
      <family val="2"/>
    </font>
    <font>
      <b/>
      <u/>
      <sz val="10"/>
      <color theme="1"/>
      <name val="Arial"/>
      <family val="2"/>
    </font>
    <font>
      <b/>
      <sz val="10"/>
      <color rgb="FFFF0000"/>
      <name val="Arial"/>
      <family val="2"/>
    </font>
    <font>
      <sz val="11"/>
      <name val="Calibri"/>
      <family val="2"/>
    </font>
    <font>
      <u/>
      <sz val="10"/>
      <color theme="1"/>
      <name val="Arial"/>
      <family val="2"/>
    </font>
    <font>
      <b/>
      <sz val="14"/>
      <color theme="1"/>
      <name val="Calibri"/>
      <family val="2"/>
    </font>
    <font>
      <sz val="11"/>
      <color theme="1"/>
      <name val="Calibri"/>
      <family val="2"/>
    </font>
    <font>
      <i/>
      <sz val="11"/>
      <color theme="1"/>
      <name val="Calibri"/>
      <family val="2"/>
    </font>
    <font>
      <i/>
      <sz val="10"/>
      <color theme="1"/>
      <name val="Calibri"/>
      <family val="2"/>
    </font>
    <font>
      <b/>
      <sz val="11"/>
      <color rgb="FFFF0000"/>
      <name val="Calibri"/>
      <family val="2"/>
    </font>
    <font>
      <b/>
      <sz val="10"/>
      <color rgb="FFFF0000"/>
      <name val="Calibri"/>
      <family val="2"/>
    </font>
    <font>
      <sz val="11"/>
      <color theme="0"/>
      <name val="Calibri"/>
      <family val="2"/>
    </font>
    <font>
      <b/>
      <sz val="11"/>
      <color theme="1"/>
      <name val="Calibri"/>
      <family val="2"/>
    </font>
    <font>
      <b/>
      <sz val="14"/>
      <color rgb="FF000000"/>
      <name val="Arial"/>
      <family val="2"/>
    </font>
    <font>
      <b/>
      <sz val="16"/>
      <color rgb="FF000000"/>
      <name val="Arial"/>
      <family val="2"/>
    </font>
    <font>
      <i/>
      <sz val="10"/>
      <color rgb="FF000000"/>
      <name val="Arial"/>
      <family val="2"/>
    </font>
    <font>
      <b/>
      <sz val="10"/>
      <color rgb="FF000000"/>
      <name val="Arial"/>
      <family val="2"/>
    </font>
    <font>
      <b/>
      <sz val="10"/>
      <color theme="1"/>
      <name val="Arial"/>
      <family val="2"/>
    </font>
    <font>
      <sz val="8"/>
      <color theme="1"/>
      <name val="Arial"/>
      <family val="2"/>
    </font>
    <font>
      <b/>
      <sz val="8"/>
      <color rgb="FF000000"/>
      <name val="Arial"/>
      <family val="2"/>
    </font>
    <font>
      <sz val="8"/>
      <color rgb="FF000000"/>
      <name val="Arial"/>
      <family val="2"/>
    </font>
    <font>
      <sz val="8"/>
      <color rgb="FFFF0000"/>
      <name val="Arial"/>
      <family val="2"/>
    </font>
    <font>
      <i/>
      <u/>
      <sz val="10"/>
      <color theme="1"/>
      <name val="Arial"/>
      <family val="2"/>
    </font>
  </fonts>
  <fills count="7">
    <fill>
      <patternFill patternType="none"/>
    </fill>
    <fill>
      <patternFill patternType="gray125"/>
    </fill>
    <fill>
      <patternFill patternType="solid">
        <fgColor rgb="FFF2F2F2"/>
        <bgColor rgb="FFF2F2F2"/>
      </patternFill>
    </fill>
    <fill>
      <patternFill patternType="solid">
        <fgColor rgb="FF366092"/>
        <bgColor rgb="FF366092"/>
      </patternFill>
    </fill>
    <fill>
      <patternFill patternType="solid">
        <fgColor rgb="FFD6E3BC"/>
        <bgColor rgb="FFD6E3BC"/>
      </patternFill>
    </fill>
    <fill>
      <patternFill patternType="solid">
        <fgColor rgb="FFD8D8D8"/>
        <bgColor rgb="FFD8D8D8"/>
      </patternFill>
    </fill>
    <fill>
      <patternFill patternType="solid">
        <fgColor rgb="FFE8E8E8"/>
        <bgColor rgb="FFE8E8E8"/>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B8CCE4"/>
      </bottom>
      <diagonal/>
    </border>
    <border>
      <left/>
      <right/>
      <top/>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000000"/>
      </left>
      <right style="thin">
        <color rgb="FF000000"/>
      </right>
      <top/>
      <bottom style="thin">
        <color rgb="FF000000"/>
      </bottom>
      <diagonal/>
    </border>
  </borders>
  <cellStyleXfs count="1">
    <xf numFmtId="0" fontId="0" fillId="0" borderId="0"/>
  </cellStyleXfs>
  <cellXfs count="89">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right"/>
    </xf>
    <xf numFmtId="0" fontId="2" fillId="0" borderId="0" xfId="0" applyFont="1" applyAlignment="1">
      <alignment horizontal="left" vertical="top" wrapText="1"/>
    </xf>
    <xf numFmtId="0" fontId="6" fillId="0" borderId="0" xfId="0" applyFont="1"/>
    <xf numFmtId="0" fontId="7" fillId="0" borderId="0" xfId="0" applyFont="1"/>
    <xf numFmtId="0" fontId="8" fillId="0" borderId="0" xfId="0" applyFont="1"/>
    <xf numFmtId="0" fontId="10" fillId="0" borderId="0" xfId="0" applyFont="1"/>
    <xf numFmtId="0" fontId="10" fillId="0" borderId="0" xfId="0" applyFont="1" applyAlignment="1">
      <alignment horizontal="left"/>
    </xf>
    <xf numFmtId="15" fontId="10" fillId="0" borderId="0" xfId="0" applyNumberFormat="1" applyFont="1" applyAlignment="1">
      <alignment horizontal="left"/>
    </xf>
    <xf numFmtId="0" fontId="10" fillId="0" borderId="0" xfId="0" applyFont="1" applyAlignment="1">
      <alignment horizontal="right"/>
    </xf>
    <xf numFmtId="0" fontId="11" fillId="0" borderId="0" xfId="0" applyFont="1" applyAlignment="1">
      <alignment horizontal="center"/>
    </xf>
    <xf numFmtId="0" fontId="12" fillId="0" borderId="0" xfId="0" applyFont="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4" fillId="0" borderId="0" xfId="0" applyFont="1" applyAlignment="1">
      <alignment horizontal="right" wrapText="1"/>
    </xf>
    <xf numFmtId="164" fontId="8" fillId="0" borderId="14" xfId="0" applyNumberFormat="1" applyFont="1" applyBorder="1"/>
    <xf numFmtId="164" fontId="8" fillId="4" borderId="15" xfId="0" applyNumberFormat="1" applyFont="1" applyFill="1" applyBorder="1"/>
    <xf numFmtId="0" fontId="14" fillId="0" borderId="0" xfId="0" applyFont="1"/>
    <xf numFmtId="164" fontId="8" fillId="0" borderId="0" xfId="0" applyNumberFormat="1" applyFont="1"/>
    <xf numFmtId="0" fontId="10" fillId="0" borderId="0" xfId="0" applyFont="1" applyAlignment="1">
      <alignment horizontal="center"/>
    </xf>
    <xf numFmtId="0" fontId="8" fillId="0" borderId="0" xfId="0" applyFont="1" applyAlignment="1">
      <alignment horizontal="left"/>
    </xf>
    <xf numFmtId="0" fontId="2" fillId="5" borderId="13" xfId="0" applyFont="1" applyFill="1" applyBorder="1"/>
    <xf numFmtId="0" fontId="17" fillId="0" borderId="0" xfId="0" applyFont="1" applyAlignment="1">
      <alignment horizontal="left" wrapText="1" readingOrder="1"/>
    </xf>
    <xf numFmtId="43" fontId="2" fillId="0" borderId="0" xfId="0" applyNumberFormat="1" applyFont="1"/>
    <xf numFmtId="14" fontId="17" fillId="0" borderId="0" xfId="0" applyNumberFormat="1" applyFont="1" applyAlignment="1">
      <alignment horizontal="left" wrapText="1" readingOrder="1"/>
    </xf>
    <xf numFmtId="41" fontId="2" fillId="0" borderId="0" xfId="0" applyNumberFormat="1" applyFont="1"/>
    <xf numFmtId="0" fontId="18" fillId="0" borderId="16" xfId="0" applyFont="1" applyBorder="1" applyAlignment="1">
      <alignment horizontal="center" readingOrder="1"/>
    </xf>
    <xf numFmtId="0" fontId="19" fillId="0" borderId="0" xfId="0" applyFont="1"/>
    <xf numFmtId="0" fontId="18" fillId="0" borderId="16" xfId="0" applyFont="1" applyBorder="1" applyAlignment="1">
      <alignment horizontal="center" wrapText="1" readingOrder="1"/>
    </xf>
    <xf numFmtId="0" fontId="18" fillId="0" borderId="11" xfId="0" applyFont="1" applyBorder="1" applyAlignment="1">
      <alignment horizontal="center" wrapText="1" readingOrder="1"/>
    </xf>
    <xf numFmtId="0" fontId="19" fillId="2" borderId="13" xfId="0" applyFont="1" applyFill="1" applyBorder="1" applyAlignment="1">
      <alignment horizontal="left"/>
    </xf>
    <xf numFmtId="41" fontId="19" fillId="2" borderId="17" xfId="0" applyNumberFormat="1" applyFont="1" applyFill="1" applyBorder="1"/>
    <xf numFmtId="41" fontId="19" fillId="0" borderId="0" xfId="0" applyNumberFormat="1" applyFont="1"/>
    <xf numFmtId="164" fontId="2" fillId="0" borderId="18" xfId="0" applyNumberFormat="1" applyFont="1" applyBorder="1"/>
    <xf numFmtId="0" fontId="2" fillId="0" borderId="18" xfId="0" applyFont="1" applyBorder="1" applyAlignment="1">
      <alignment horizontal="left"/>
    </xf>
    <xf numFmtId="41" fontId="2" fillId="0" borderId="18" xfId="0" applyNumberFormat="1" applyFont="1" applyBorder="1"/>
    <xf numFmtId="0" fontId="2" fillId="0" borderId="18" xfId="0" applyFont="1" applyBorder="1"/>
    <xf numFmtId="164" fontId="2" fillId="0" borderId="0" xfId="0" applyNumberFormat="1" applyFont="1"/>
    <xf numFmtId="0" fontId="19" fillId="0" borderId="14" xfId="0" applyFont="1" applyBorder="1" applyAlignment="1">
      <alignment horizontal="left"/>
    </xf>
    <xf numFmtId="41" fontId="19" fillId="0" borderId="14" xfId="0" applyNumberFormat="1" applyFont="1" applyBorder="1"/>
    <xf numFmtId="0" fontId="8" fillId="0" borderId="0" xfId="0" applyFont="1" applyAlignment="1">
      <alignment horizontal="right"/>
    </xf>
    <xf numFmtId="0" fontId="21" fillId="0" borderId="0" xfId="0" applyFont="1" applyAlignment="1">
      <alignment horizontal="left" readingOrder="1"/>
    </xf>
    <xf numFmtId="0" fontId="22" fillId="6" borderId="13" xfId="0" applyFont="1" applyFill="1" applyBorder="1" applyAlignment="1">
      <alignment horizontal="left" vertical="center" readingOrder="1"/>
    </xf>
    <xf numFmtId="0" fontId="22" fillId="0" borderId="0" xfId="0" applyFont="1" applyAlignment="1">
      <alignment horizontal="left" vertical="top" readingOrder="1"/>
    </xf>
    <xf numFmtId="165" fontId="22" fillId="0" borderId="0" xfId="0" applyNumberFormat="1" applyFont="1" applyAlignment="1">
      <alignment horizontal="right" vertical="center" readingOrder="1"/>
    </xf>
    <xf numFmtId="165" fontId="23" fillId="0" borderId="0" xfId="0" applyNumberFormat="1" applyFont="1" applyAlignment="1">
      <alignment horizontal="right" vertical="center" readingOrder="1"/>
    </xf>
    <xf numFmtId="166" fontId="22" fillId="0" borderId="0" xfId="0" applyNumberFormat="1" applyFont="1" applyAlignment="1">
      <alignment horizontal="right" vertical="top" readingOrder="1"/>
    </xf>
    <xf numFmtId="166" fontId="22" fillId="0" borderId="0" xfId="0" applyNumberFormat="1" applyFont="1" applyAlignment="1">
      <alignment horizontal="right" vertical="center" readingOrder="1"/>
    </xf>
    <xf numFmtId="165" fontId="8" fillId="0" borderId="0" xfId="0" applyNumberFormat="1" applyFont="1"/>
    <xf numFmtId="0" fontId="20" fillId="6" borderId="13" xfId="0" applyFont="1" applyFill="1" applyBorder="1" applyAlignment="1">
      <alignment horizontal="left" vertical="center" readingOrder="1"/>
    </xf>
    <xf numFmtId="166" fontId="23" fillId="0" borderId="0" xfId="0" applyNumberFormat="1" applyFont="1" applyAlignment="1">
      <alignment horizontal="right" vertical="top" readingOrder="1"/>
    </xf>
    <xf numFmtId="166" fontId="23" fillId="0" borderId="0" xfId="0" applyNumberFormat="1" applyFont="1" applyAlignment="1">
      <alignment horizontal="right" vertical="center" readingOrder="1"/>
    </xf>
    <xf numFmtId="0" fontId="22" fillId="0" borderId="0" xfId="0" applyFont="1" applyAlignment="1">
      <alignment horizontal="left" vertical="center" readingOrder="1"/>
    </xf>
    <xf numFmtId="0" fontId="0" fillId="0" borderId="19" xfId="0" applyBorder="1"/>
    <xf numFmtId="0" fontId="0" fillId="0" borderId="20" xfId="0" applyBorder="1"/>
    <xf numFmtId="0" fontId="0" fillId="0" borderId="19" xfId="0" pivotButton="1"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2" fillId="0" borderId="1" xfId="0" applyFont="1" applyBorder="1" applyAlignment="1">
      <alignment horizontal="left" vertical="top" wrapText="1"/>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0" fillId="0" borderId="0" xfId="0"/>
    <xf numFmtId="0" fontId="5" fillId="0" borderId="8" xfId="0" applyFont="1" applyBorder="1"/>
    <xf numFmtId="0" fontId="9" fillId="2" borderId="9" xfId="0" applyFont="1" applyFill="1" applyBorder="1" applyAlignment="1">
      <alignment horizontal="left"/>
    </xf>
    <xf numFmtId="0" fontId="5" fillId="0" borderId="10" xfId="0" applyFont="1" applyBorder="1"/>
    <xf numFmtId="0" fontId="5" fillId="0" borderId="11" xfId="0" applyFont="1" applyBorder="1"/>
    <xf numFmtId="0" fontId="15" fillId="0" borderId="5" xfId="0" applyFont="1" applyBorder="1" applyAlignment="1">
      <alignment horizontal="center" vertical="center" wrapText="1" readingOrder="1"/>
    </xf>
    <xf numFmtId="0" fontId="16" fillId="0" borderId="5" xfId="0" applyFont="1" applyBorder="1" applyAlignment="1">
      <alignment horizontal="center" vertical="top" wrapText="1" readingOrder="1"/>
    </xf>
    <xf numFmtId="0" fontId="20" fillId="0" borderId="0" xfId="0" applyFont="1" applyAlignment="1">
      <alignment horizontal="left" vertical="top" wrapText="1"/>
    </xf>
    <xf numFmtId="0" fontId="0" fillId="0" borderId="19" xfId="0" applyNumberFormat="1" applyBorder="1"/>
    <xf numFmtId="0" fontId="0" fillId="0" borderId="22" xfId="0" applyNumberFormat="1" applyBorder="1"/>
    <xf numFmtId="0" fontId="0" fillId="0" borderId="23" xfId="0" applyNumberFormat="1" applyBorder="1"/>
    <xf numFmtId="0" fontId="0" fillId="0" borderId="25" xfId="0" applyNumberFormat="1" applyBorder="1"/>
    <xf numFmtId="0" fontId="0" fillId="0" borderId="27" xfId="0" applyNumberFormat="1" applyBorder="1"/>
    <xf numFmtId="0" fontId="0" fillId="0" borderId="28" xfId="0" applyNumberFormat="1" applyBorder="1"/>
    <xf numFmtId="0" fontId="21" fillId="0" borderId="4" xfId="0" applyFont="1" applyBorder="1" applyAlignment="1">
      <alignment horizontal="left" readingOrder="1"/>
    </xf>
    <xf numFmtId="0" fontId="21" fillId="0" borderId="5" xfId="0" applyFont="1" applyBorder="1" applyAlignment="1">
      <alignment horizontal="left" readingOrder="1"/>
    </xf>
    <xf numFmtId="0" fontId="21" fillId="0" borderId="29" xfId="0" applyFont="1" applyBorder="1" applyAlignment="1">
      <alignment horizontal="center" readingOrder="1"/>
    </xf>
  </cellXfs>
  <cellStyles count="1">
    <cellStyle name="Normal" xfId="0" builtinId="0"/>
  </cellStyles>
  <dxfs count="40">
    <dxf>
      <font>
        <b val="0"/>
        <i val="0"/>
        <strike val="0"/>
        <condense val="0"/>
        <extend val="0"/>
        <outline val="0"/>
        <shadow val="0"/>
        <u val="none"/>
        <vertAlign val="baseline"/>
        <sz val="8"/>
        <color rgb="FF000000"/>
        <name val="Arial"/>
        <family val="2"/>
        <scheme val="none"/>
      </font>
      <numFmt numFmtId="166" formatCode="[$-10409]#,###.0%;\(#,###.0\)%;\-"/>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6" formatCode="[$-10409]#,###.0%;\(#,###.0\)%;\-"/>
      <alignment horizontal="right" vertical="top"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alignment horizontal="left" vertical="top" textRotation="0" wrapText="0" indent="0" justifyLastLine="0" shrinkToFit="0" readingOrder="1"/>
    </dxf>
    <dxf>
      <font>
        <b val="0"/>
        <i val="0"/>
        <strike val="0"/>
        <condense val="0"/>
        <extend val="0"/>
        <outline val="0"/>
        <shadow val="0"/>
        <u val="none"/>
        <vertAlign val="baseline"/>
        <sz val="8"/>
        <color rgb="FF000000"/>
        <name val="Arial"/>
        <family val="2"/>
        <scheme val="none"/>
      </font>
      <fill>
        <patternFill patternType="solid">
          <fgColor rgb="FFE8E8E8"/>
          <bgColor rgb="FFE8E8E8"/>
        </patternFill>
      </fill>
      <alignment horizontal="left" vertical="center" textRotation="0" wrapText="0" indent="0" justifyLastLine="0" shrinkToFit="0" readingOrder="1"/>
    </dxf>
    <dxf>
      <font>
        <b/>
        <i val="0"/>
        <strike val="0"/>
        <condense val="0"/>
        <extend val="0"/>
        <outline val="0"/>
        <shadow val="0"/>
        <u val="none"/>
        <vertAlign val="baseline"/>
        <sz val="8"/>
        <color rgb="FF000000"/>
        <name val="Arial"/>
        <family val="2"/>
        <scheme val="none"/>
      </font>
      <alignment horizontal="left" vertical="bottom" textRotation="0" wrapText="0" indent="0" justifyLastLine="0" shrinkToFit="0" readingOrder="1"/>
    </dxf>
    <dxf>
      <border outline="0">
        <bottom style="thin">
          <color rgb="FF000000"/>
        </bottom>
      </border>
    </dxf>
    <dxf>
      <border outline="0">
        <top style="thin">
          <color rgb="FF000000"/>
        </top>
      </border>
    </dxf>
    <dxf>
      <font>
        <b val="0"/>
        <i val="0"/>
        <strike val="0"/>
        <condense val="0"/>
        <extend val="0"/>
        <outline val="0"/>
        <shadow val="0"/>
        <u val="none"/>
        <vertAlign val="baseline"/>
        <sz val="8"/>
        <color rgb="FF000000"/>
        <name val="Arial"/>
        <family val="2"/>
        <scheme val="none"/>
      </font>
      <alignment horizontal="right" vertical="center" textRotation="0" wrapText="0" indent="0" justifyLastLine="0" shrinkToFit="0" readingOrder="1"/>
    </dxf>
    <dxf>
      <font>
        <b/>
        <i val="0"/>
        <strike val="0"/>
        <condense val="0"/>
        <extend val="0"/>
        <outline val="0"/>
        <shadow val="0"/>
        <u val="none"/>
        <vertAlign val="baseline"/>
        <sz val="8"/>
        <color rgb="FF000000"/>
        <name val="Arial"/>
        <family val="2"/>
        <scheme val="none"/>
      </font>
      <alignment horizontal="center" vertical="bottom" textRotation="0" wrapText="0" indent="0" justifyLastLine="0" shrinkToFit="0" readingOrder="1"/>
      <border diagonalUp="0" diagonalDown="0" outline="0">
        <left style="thin">
          <color rgb="FF000000"/>
        </left>
        <right style="thin">
          <color rgb="FF000000"/>
        </right>
        <top/>
        <bottom/>
      </border>
    </dxf>
    <dxf>
      <font>
        <b/>
        <i val="0"/>
        <strike val="0"/>
        <condense val="0"/>
        <extend val="0"/>
        <outline val="0"/>
        <shadow val="0"/>
        <u val="none"/>
        <vertAlign val="baseline"/>
        <sz val="8"/>
        <color rgb="FF000000"/>
        <name val="Arial"/>
        <family val="2"/>
        <scheme val="none"/>
      </font>
      <alignment horizontal="center" vertical="bottom" textRotation="0" wrapText="0" indent="0" justifyLastLine="0" shrinkToFit="0" readingOrder="1"/>
      <border diagonalUp="0" diagonalDown="0" outline="0">
        <left style="thin">
          <color rgb="FF000000"/>
        </left>
        <right style="thin">
          <color rgb="FF000000"/>
        </right>
        <top/>
        <bottom/>
      </border>
    </dxf>
    <dxf>
      <font>
        <b val="0"/>
        <i val="0"/>
        <strike val="0"/>
        <condense val="0"/>
        <extend val="0"/>
        <outline val="0"/>
        <shadow val="0"/>
        <u val="none"/>
        <vertAlign val="baseline"/>
        <sz val="8"/>
        <color rgb="FF000000"/>
        <name val="Arial"/>
        <family val="2"/>
        <scheme val="none"/>
      </font>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6" formatCode="[$-10409]#,###.0%;\(#,###.0\)%;\-"/>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6" formatCode="[$-10409]#,###.0%;\(#,###.0\)%;\-"/>
      <alignment horizontal="right" vertical="top"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numFmt numFmtId="165" formatCode="[$-10409]#,###;\(#,###\);\-"/>
      <alignment horizontal="right" vertical="center" textRotation="0" wrapText="0" indent="0" justifyLastLine="0" shrinkToFit="0" readingOrder="1"/>
    </dxf>
    <dxf>
      <font>
        <b val="0"/>
        <i val="0"/>
        <strike val="0"/>
        <condense val="0"/>
        <extend val="0"/>
        <outline val="0"/>
        <shadow val="0"/>
        <u val="none"/>
        <vertAlign val="baseline"/>
        <sz val="8"/>
        <color rgb="FF000000"/>
        <name val="Arial"/>
        <family val="2"/>
        <scheme val="none"/>
      </font>
      <alignment horizontal="left" vertical="top" textRotation="0" wrapText="0" indent="0" justifyLastLine="0" shrinkToFit="0" readingOrder="1"/>
    </dxf>
    <dxf>
      <font>
        <b val="0"/>
        <i val="0"/>
        <strike val="0"/>
        <condense val="0"/>
        <extend val="0"/>
        <outline val="0"/>
        <shadow val="0"/>
        <u val="none"/>
        <vertAlign val="baseline"/>
        <sz val="8"/>
        <color rgb="FF000000"/>
        <name val="Arial"/>
        <family val="2"/>
        <scheme val="none"/>
      </font>
      <fill>
        <patternFill patternType="solid">
          <fgColor rgb="FFE8E8E8"/>
          <bgColor rgb="FFE8E8E8"/>
        </patternFill>
      </fill>
      <alignment horizontal="left" vertical="center" textRotation="0" wrapText="0" indent="0" justifyLastLine="0" shrinkToFit="0" readingOrder="1"/>
    </dxf>
    <dxf>
      <font>
        <b/>
        <i val="0"/>
        <strike val="0"/>
        <condense val="0"/>
        <extend val="0"/>
        <outline val="0"/>
        <shadow val="0"/>
        <u val="none"/>
        <vertAlign val="baseline"/>
        <sz val="8"/>
        <color rgb="FF000000"/>
        <name val="Arial"/>
        <family val="2"/>
        <scheme val="none"/>
      </font>
      <alignment horizontal="left" vertical="bottom" textRotation="0" wrapText="0" indent="0" justifyLastLine="0" shrinkToFit="0" readingOrder="1"/>
    </dxf>
    <dxf>
      <border outline="0">
        <bottom style="thin">
          <color rgb="FF000000"/>
        </bottom>
      </border>
    </dxf>
    <dxf>
      <border outline="0">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editAs="oneCell">
    <xdr:from>
      <xdr:col>12</xdr:col>
      <xdr:colOff>9524</xdr:colOff>
      <xdr:row>3</xdr:row>
      <xdr:rowOff>9525</xdr:rowOff>
    </xdr:from>
    <xdr:to>
      <xdr:col>18</xdr:col>
      <xdr:colOff>19049</xdr:colOff>
      <xdr:row>17</xdr:row>
      <xdr:rowOff>0</xdr:rowOff>
    </xdr:to>
    <mc:AlternateContent xmlns:mc="http://schemas.openxmlformats.org/markup-compatibility/2006">
      <mc:Choice xmlns:a14="http://schemas.microsoft.com/office/drawing/2010/main" Requires="a14">
        <xdr:graphicFrame macro="">
          <xdr:nvGraphicFramePr>
            <xdr:cNvPr id="2" name="Fund Group">
              <a:extLst>
                <a:ext uri="{FF2B5EF4-FFF2-40B4-BE49-F238E27FC236}">
                  <a16:creationId xmlns:a16="http://schemas.microsoft.com/office/drawing/2014/main" id="{5F1CE2CF-3DAC-D489-CC7C-58399650FAFC}"/>
                </a:ext>
              </a:extLst>
            </xdr:cNvPr>
            <xdr:cNvGraphicFramePr/>
          </xdr:nvGraphicFramePr>
          <xdr:xfrm>
            <a:off x="0" y="0"/>
            <a:ext cx="0" cy="0"/>
          </xdr:xfrm>
          <a:graphic>
            <a:graphicData uri="http://schemas.microsoft.com/office/drawing/2010/slicer">
              <sle:slicer xmlns:sle="http://schemas.microsoft.com/office/drawing/2010/slicer" name="Fund Group"/>
            </a:graphicData>
          </a:graphic>
        </xdr:graphicFrame>
      </mc:Choice>
      <mc:Fallback>
        <xdr:sp macro="" textlink="">
          <xdr:nvSpPr>
            <xdr:cNvPr id="0" name=""/>
            <xdr:cNvSpPr>
              <a:spLocks noTextEdit="1"/>
            </xdr:cNvSpPr>
          </xdr:nvSpPr>
          <xdr:spPr>
            <a:xfrm>
              <a:off x="10477499" y="552450"/>
              <a:ext cx="349567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9524</xdr:colOff>
      <xdr:row>18</xdr:row>
      <xdr:rowOff>28575</xdr:rowOff>
    </xdr:from>
    <xdr:to>
      <xdr:col>20</xdr:col>
      <xdr:colOff>247649</xdr:colOff>
      <xdr:row>32</xdr:row>
      <xdr:rowOff>19050</xdr:rowOff>
    </xdr:to>
    <mc:AlternateContent xmlns:mc="http://schemas.openxmlformats.org/markup-compatibility/2006">
      <mc:Choice xmlns:a14="http://schemas.microsoft.com/office/drawing/2010/main" Requires="a14">
        <xdr:graphicFrame macro="">
          <xdr:nvGraphicFramePr>
            <xdr:cNvPr id="3" name="Fund">
              <a:extLst>
                <a:ext uri="{FF2B5EF4-FFF2-40B4-BE49-F238E27FC236}">
                  <a16:creationId xmlns:a16="http://schemas.microsoft.com/office/drawing/2014/main" id="{D10F730A-9A6A-491B-0C35-87A0E39C6AC6}"/>
                </a:ext>
              </a:extLst>
            </xdr:cNvPr>
            <xdr:cNvGraphicFramePr/>
          </xdr:nvGraphicFramePr>
          <xdr:xfrm>
            <a:off x="0" y="0"/>
            <a:ext cx="0" cy="0"/>
          </xdr:xfrm>
          <a:graphic>
            <a:graphicData uri="http://schemas.microsoft.com/office/drawing/2010/slicer">
              <sle:slicer xmlns:sle="http://schemas.microsoft.com/office/drawing/2010/slicer" name="Fund"/>
            </a:graphicData>
          </a:graphic>
        </xdr:graphicFrame>
      </mc:Choice>
      <mc:Fallback>
        <xdr:sp macro="" textlink="">
          <xdr:nvSpPr>
            <xdr:cNvPr id="0" name=""/>
            <xdr:cNvSpPr>
              <a:spLocks noTextEdit="1"/>
            </xdr:cNvSpPr>
          </xdr:nvSpPr>
          <xdr:spPr>
            <a:xfrm>
              <a:off x="10477499" y="3286125"/>
              <a:ext cx="488632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gam405" refreshedDate="45819.485610300922" createdVersion="8" refreshedVersion="8" minRefreshableVersion="3" recordCount="94" xr:uid="{C2F5A21B-67FA-443A-AF5B-6D00176752EF}">
  <cacheSource type="worksheet">
    <worksheetSource name="Table13"/>
  </cacheSource>
  <cacheFields count="16">
    <cacheField name="Account Type" numFmtId="0">
      <sharedItems count="2">
        <s v="Revenues"/>
        <s v="Expenses"/>
      </sharedItems>
    </cacheField>
    <cacheField name="Fund Group" numFmtId="0">
      <sharedItems count="16">
        <s v="Athletics"/>
        <s v="Housing"/>
        <s v="Dining"/>
        <s v="Student Activity Center"/>
        <s v="Operating Fund"/>
        <s v="Student Health &amp; Wellbeing Services"/>
        <s v="Construction Administration"/>
        <s v="IRA Sustainable Innovation Futures Trust"/>
        <s v="IRA Jack Pass"/>
        <s v="IRA Committee Fund"/>
        <s v="CEEGE"/>
        <s v="Health Facilities"/>
        <s v="Children's Center"/>
        <s v="Parking"/>
        <s v="Lottery"/>
        <s v="Bookstore"/>
      </sharedItems>
    </cacheField>
    <cacheField name="Fund" numFmtId="0">
      <sharedItems count="50">
        <s v="A0051 - ATHLETICS TRUST"/>
        <s v="A0053 - VOLLEYBALL PROGRAM"/>
        <s v="A0054 - MENS CROSS COUNTRY PROGRAM"/>
        <s v="A0055 - WOMENS CROSS COUNTRY PROGRAM"/>
        <s v="A0056 - MENS SOCCER PROGRAM"/>
        <s v="A0057 - WOMENS SOCCER PROGRAM"/>
        <s v="A0058 - MEN'S BASKETBALL PROGRAM"/>
        <s v="A0059 - WOMEN'S BASKETBALL PROGRAM"/>
        <s v="A0060 - MENS TRACK &amp; FIELD PROGRAM"/>
        <s v="A0061 - WOMENS TRACK &amp; FIELD PROGRAM"/>
        <s v="A0062 - WOMENS ROWING PROGRAM"/>
        <s v="A0063 - WOMENS SOFTBALL PROGRAM"/>
        <s v="A0064 - WOMENS TRIATHLON"/>
        <s v="HA100 - HOUSING TRUST FUND"/>
        <s v="HA110 - DINING SERVICES"/>
        <s v="HC100 - STUDENT ACTIVITIES CTR TRUST"/>
        <s v="HX100 - SAC CENTER ARTS MISC REV TRUST"/>
        <s v="HC101 - CAMPUS REC TRUST FUND"/>
        <s v="HX101 - CAMPUS REC MISC REV TRUST"/>
        <s v="TO120 - IRA ATHLETICS FUND"/>
        <s v="TX001 - INTERCOLLEGIATE ATHLETICS TR"/>
        <s v="TX005 - RECREATIONAL SPORTS TR"/>
        <s v="HM500 - OPERATING FUND"/>
        <s v="HM505 - HEALTH SERVICE OPERATING FUND"/>
        <s v="HM506 - AUGMENTED HEALTH SERVICES"/>
        <s v="HM542 - CONSTRUCTION ADMINISTRATION"/>
        <s v="TO110 - SUSTAIN HUM INNOVATION FUTURES"/>
        <s v="TO130 - IRA JACK PASS FUND"/>
        <s v="TO140 - IRA COMMITTEE FUND"/>
        <s v="TL001 - EXTENDED EDUCATION"/>
        <s v="TL006 - EXT ED EARLY START PROGRAM"/>
        <s v="TL201 - CEEE SOCIAL WORK MSW"/>
        <s v="TL202 - CEEE APPLIED ANTHROPOLOGY MA"/>
        <s v="TL301 - CEEE LEADERSHIP STUDIES BA"/>
        <s v="TL401 - CEEE GEOSPATIAL CERTIFICATE"/>
        <s v="TL501 - PACE REVENUE SHARING"/>
        <s v="TM001 - HEALTH FACILITIES"/>
        <s v="TP004 - C+G HSU CHILDRENS CTR"/>
        <s v="TP060 - C+G CC EARLY HEAD START"/>
        <s v="TV020 - OT CPH CHLD CENTER TRUST"/>
        <s v="TS001 - PARKING FINES + FORFEITURES"/>
        <s v="TS003 - PARKING FEES"/>
        <s v="TU001 - LOTTERY-LEF"/>
        <s v="TU007 - LOTTERY - ACCESS &amp; ACAD DEVELP"/>
        <s v="TU009 - LOTTERY -PRE DOCTORAL PROG"/>
        <s v="TV061 - BOOKSTORE TRUST FUND"/>
        <s v="TU005 - LOTTERY - FUTURE SCHOLAR"/>
        <s v="TU006 - LOTTERY - INSTR DISCRET"/>
        <s v="TU008 - LOTTERY - TEACHER RECRUITMT"/>
        <s v="TV062 - EUREKA STORE TRUST FUND"/>
      </sharedItems>
    </cacheField>
    <cacheField name="Orig Base" numFmtId="165">
      <sharedItems containsSemiMixedTypes="0" containsString="0" containsNumber="1" containsInteger="1" minValue="0" maxValue="158666757"/>
    </cacheField>
    <cacheField name="Adj Bud" numFmtId="165">
      <sharedItems containsSemiMixedTypes="0" containsString="0" containsNumber="1" containsInteger="1" minValue="0" maxValue="20084321"/>
    </cacheField>
    <cacheField name="Final Bud" numFmtId="165">
      <sharedItems containsSemiMixedTypes="0" containsString="0" containsNumber="1" containsInteger="1" minValue="0" maxValue="178751078"/>
    </cacheField>
    <cacheField name="Actual" numFmtId="165">
      <sharedItems containsSemiMixedTypes="0" containsString="0" containsNumber="1" minValue="-4305.62" maxValue="49326402.829999998"/>
    </cacheField>
    <cacheField name="Encumb" numFmtId="165">
      <sharedItems containsSemiMixedTypes="0" containsString="0" containsNumber="1" minValue="0" maxValue="2243941.739997"/>
    </cacheField>
    <cacheField name="YTD Total" numFmtId="165">
      <sharedItems containsSemiMixedTypes="0" containsString="0" containsNumber="1" minValue="-4305.62" maxValue="49326402.829999998"/>
    </cacheField>
    <cacheField name="YTD Bal" numFmtId="165">
      <sharedItems containsSemiMixedTypes="0" containsString="0" containsNumber="1" minValue="-110074190.17" maxValue="134312399.11000299"/>
    </cacheField>
    <cacheField name="YTD %" numFmtId="166">
      <sharedItems containsSemiMixedTypes="0" containsString="0" containsNumber="1" minValue="-1" maxValue="9.99"/>
    </cacheField>
    <cacheField name="Projection" numFmtId="165">
      <sharedItems containsSemiMixedTypes="0" containsString="0" containsNumber="1" minValue="0" maxValue="152886842.246584"/>
    </cacheField>
    <cacheField name="Projection Adj" numFmtId="165">
      <sharedItems containsSemiMixedTypes="0" containsString="0" containsNumber="1" containsInteger="1" minValue="-727230" maxValue="14329372"/>
    </cacheField>
    <cacheField name="Final Proj" numFmtId="165">
      <sharedItems containsSemiMixedTypes="0" containsString="0" containsNumber="1" minValue="0" maxValue="162696051.246584"/>
    </cacheField>
    <cacheField name="Proj Bal" numFmtId="165">
      <sharedItems containsSemiMixedTypes="0" containsString="0" containsNumber="1" minValue="-2111193.496663" maxValue="13811085.013419"/>
    </cacheField>
    <cacheField name="Proj % " numFmtId="166">
      <sharedItems containsSemiMixedTypes="0" containsString="0" containsNumber="1" minValue="-1" maxValue="9.99"/>
    </cacheField>
  </cacheFields>
  <extLst>
    <ext xmlns:x14="http://schemas.microsoft.com/office/spreadsheetml/2009/9/main" uri="{725AE2AE-9491-48be-B2B4-4EB974FC3084}">
      <x14:pivotCacheDefinition pivotCacheId="182428289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4">
  <r>
    <x v="0"/>
    <x v="0"/>
    <x v="0"/>
    <n v="90000"/>
    <n v="0"/>
    <n v="90000"/>
    <n v="28700.799999999999"/>
    <n v="0"/>
    <n v="28700.799999999999"/>
    <n v="-61299.199999999997"/>
    <n v="0.31889777777777778"/>
    <n v="89550.5"/>
    <n v="0"/>
    <n v="89550.5"/>
    <n v="-449.5"/>
    <n v="0.99500555555555559"/>
  </r>
  <r>
    <x v="0"/>
    <x v="0"/>
    <x v="1"/>
    <n v="27300"/>
    <n v="0"/>
    <n v="27300"/>
    <n v="417.5"/>
    <n v="0"/>
    <n v="417.5"/>
    <n v="-26882.5"/>
    <n v="1.5293040293040292E-2"/>
    <n v="6334.85"/>
    <n v="0"/>
    <n v="6334.85"/>
    <n v="-20965.150000000001"/>
    <n v="0.23204578754578756"/>
  </r>
  <r>
    <x v="0"/>
    <x v="0"/>
    <x v="2"/>
    <n v="5000"/>
    <n v="0"/>
    <n v="5000"/>
    <n v="137.5"/>
    <n v="0"/>
    <n v="137.5"/>
    <n v="-4862.5"/>
    <n v="2.75E-2"/>
    <n v="895.44"/>
    <n v="0"/>
    <n v="895.44"/>
    <n v="-4104.5600000000004"/>
    <n v="0.179088"/>
  </r>
  <r>
    <x v="0"/>
    <x v="0"/>
    <x v="3"/>
    <n v="6000"/>
    <n v="0"/>
    <n v="6000"/>
    <n v="37.5"/>
    <n v="0"/>
    <n v="37.5"/>
    <n v="-5962.5"/>
    <n v="6.2500000000000003E-3"/>
    <n v="1182.7733330000001"/>
    <n v="0"/>
    <n v="1182.7733330000001"/>
    <n v="-4817.2266669999999"/>
    <n v="0.19712888883333332"/>
  </r>
  <r>
    <x v="0"/>
    <x v="0"/>
    <x v="4"/>
    <n v="11000"/>
    <n v="0"/>
    <n v="11000"/>
    <n v="330"/>
    <n v="0"/>
    <n v="330"/>
    <n v="-10670"/>
    <n v="0.03"/>
    <n v="4004.556666"/>
    <n v="0"/>
    <n v="4004.556666"/>
    <n v="-6995.4433339999996"/>
    <n v="0.364050606"/>
  </r>
  <r>
    <x v="0"/>
    <x v="0"/>
    <x v="5"/>
    <n v="10000"/>
    <n v="0"/>
    <n v="10000"/>
    <n v="200"/>
    <n v="0"/>
    <n v="200"/>
    <n v="-9800"/>
    <n v="0.02"/>
    <n v="9622.41"/>
    <n v="0"/>
    <n v="9622.41"/>
    <n v="-377.59"/>
    <n v="0.96224100000000001"/>
  </r>
  <r>
    <x v="0"/>
    <x v="0"/>
    <x v="6"/>
    <n v="19000"/>
    <n v="0"/>
    <n v="19000"/>
    <n v="250"/>
    <n v="0"/>
    <n v="250"/>
    <n v="-18750"/>
    <n v="1.3157894736842105E-2"/>
    <n v="475"/>
    <n v="0"/>
    <n v="475"/>
    <n v="-18525"/>
    <n v="2.5000000000000001E-2"/>
  </r>
  <r>
    <x v="0"/>
    <x v="0"/>
    <x v="7"/>
    <n v="6000"/>
    <n v="0"/>
    <n v="6000"/>
    <n v="1620"/>
    <n v="0"/>
    <n v="1620"/>
    <n v="-4380"/>
    <n v="0.27"/>
    <n v="3350.6866660000001"/>
    <n v="0"/>
    <n v="3350.6866660000001"/>
    <n v="-2649.3133339999999"/>
    <n v="0.55844777766666664"/>
  </r>
  <r>
    <x v="0"/>
    <x v="0"/>
    <x v="8"/>
    <n v="3800"/>
    <n v="0"/>
    <n v="3800"/>
    <n v="287.5"/>
    <n v="0"/>
    <n v="287.5"/>
    <n v="-3512.5"/>
    <n v="7.5657894736842105E-2"/>
    <n v="2864.9"/>
    <n v="0"/>
    <n v="2864.9"/>
    <n v="-935.1"/>
    <n v="0.75392105263157894"/>
  </r>
  <r>
    <x v="0"/>
    <x v="0"/>
    <x v="9"/>
    <n v="4500"/>
    <n v="0"/>
    <n v="4500"/>
    <n v="1747.5"/>
    <n v="0"/>
    <n v="1747.5"/>
    <n v="-2752.5"/>
    <n v="0.38833333333333331"/>
    <n v="3926.18"/>
    <n v="0"/>
    <n v="3926.18"/>
    <n v="-573.82000000000005"/>
    <n v="0.8724844444444444"/>
  </r>
  <r>
    <x v="0"/>
    <x v="0"/>
    <x v="10"/>
    <n v="21200"/>
    <n v="0"/>
    <n v="21200"/>
    <n v="3649"/>
    <n v="0"/>
    <n v="3649"/>
    <n v="-17551"/>
    <n v="0.17212264150943396"/>
    <n v="13291.186667"/>
    <n v="0"/>
    <n v="13291.186667"/>
    <n v="-7908.8133330000001"/>
    <n v="0.6269427673113207"/>
  </r>
  <r>
    <x v="0"/>
    <x v="0"/>
    <x v="11"/>
    <n v="19000"/>
    <n v="0"/>
    <n v="19000"/>
    <n v="1864"/>
    <n v="0"/>
    <n v="1864"/>
    <n v="-17136"/>
    <n v="9.8105263157894737E-2"/>
    <n v="6391.85"/>
    <n v="0"/>
    <n v="6391.85"/>
    <n v="-12608.15"/>
    <n v="0.33641315789473686"/>
  </r>
  <r>
    <x v="0"/>
    <x v="0"/>
    <x v="12"/>
    <n v="4000"/>
    <n v="0"/>
    <n v="4000"/>
    <n v="50000"/>
    <n v="0"/>
    <n v="50000"/>
    <n v="46000"/>
    <n v="9.99"/>
    <n v="50539.853332999999"/>
    <n v="0"/>
    <n v="50539.853332999999"/>
    <n v="46539.853332999999"/>
    <n v="9.99"/>
  </r>
  <r>
    <x v="0"/>
    <x v="1"/>
    <x v="13"/>
    <n v="16349703"/>
    <n v="0"/>
    <n v="16349703"/>
    <n v="7227097.1799999997"/>
    <n v="0"/>
    <n v="7227097.1799999997"/>
    <n v="-9122605.8200000003"/>
    <n v="0.44203232193269809"/>
    <n v="12610709.169999"/>
    <n v="2031790"/>
    <n v="14642499.169999"/>
    <n v="-1707203.8300010001"/>
    <n v="0.89558196684055968"/>
  </r>
  <r>
    <x v="0"/>
    <x v="2"/>
    <x v="14"/>
    <n v="8919552"/>
    <n v="0"/>
    <n v="8919552"/>
    <n v="4047726.3"/>
    <n v="0"/>
    <n v="4047726.3"/>
    <n v="-4871825.7"/>
    <n v="0.45380376727441019"/>
    <n v="8286657.2866669996"/>
    <n v="0"/>
    <n v="8286657.2866669996"/>
    <n v="-632894.71333299996"/>
    <n v="0.92904411417378363"/>
  </r>
  <r>
    <x v="0"/>
    <x v="3"/>
    <x v="15"/>
    <n v="979575"/>
    <n v="0"/>
    <n v="979575"/>
    <n v="453538.39"/>
    <n v="0"/>
    <n v="453538.39"/>
    <n v="-526036.61"/>
    <n v="0.46299506418599901"/>
    <n v="899734.14666600002"/>
    <n v="0"/>
    <n v="899734.14666600002"/>
    <n v="-79840.853333999999"/>
    <n v="0.91849439467728355"/>
  </r>
  <r>
    <x v="0"/>
    <x v="3"/>
    <x v="16"/>
    <n v="366000"/>
    <n v="0"/>
    <n v="366000"/>
    <n v="148896.82999999999"/>
    <n v="0"/>
    <n v="148896.82999999999"/>
    <n v="-217103.17"/>
    <n v="0.40682193989071036"/>
    <n v="224085.01666600001"/>
    <n v="141915"/>
    <n v="366000.01666600001"/>
    <n v="1.6666E-2"/>
    <n v="1.0000000455355191"/>
  </r>
  <r>
    <x v="0"/>
    <x v="0"/>
    <x v="17"/>
    <n v="603000"/>
    <n v="0"/>
    <n v="603000"/>
    <n v="316304.71000000002"/>
    <n v="0"/>
    <n v="316304.71000000002"/>
    <n v="-286695.28999999998"/>
    <n v="0.52455175787728026"/>
    <n v="527861.74333299999"/>
    <n v="91056"/>
    <n v="618917.74333299999"/>
    <n v="15917.743333"/>
    <n v="1.0263975843001658"/>
  </r>
  <r>
    <x v="0"/>
    <x v="0"/>
    <x v="18"/>
    <n v="124500"/>
    <n v="0"/>
    <n v="124500"/>
    <n v="53084.01"/>
    <n v="0"/>
    <n v="53084.01"/>
    <n v="-71415.990000000005"/>
    <n v="0.42637759036144579"/>
    <n v="130153.17000100001"/>
    <n v="0"/>
    <n v="130153.17000100001"/>
    <n v="5653.1700010000004"/>
    <n v="1.0454069879598393"/>
  </r>
  <r>
    <x v="0"/>
    <x v="0"/>
    <x v="19"/>
    <n v="2840000"/>
    <n v="0"/>
    <n v="2840000"/>
    <n v="1507998.58"/>
    <n v="0"/>
    <n v="1507998.58"/>
    <n v="-1332001.42"/>
    <n v="0.53098541549295775"/>
    <n v="2884254.239999"/>
    <n v="0"/>
    <n v="2884254.239999"/>
    <n v="44254.239998999998"/>
    <n v="1.0155824788728873"/>
  </r>
  <r>
    <x v="0"/>
    <x v="0"/>
    <x v="20"/>
    <n v="239359"/>
    <n v="0"/>
    <n v="239359"/>
    <n v="34498.65"/>
    <n v="0"/>
    <n v="34498.65"/>
    <n v="-204860.35"/>
    <n v="0.14412932039321688"/>
    <n v="222199.08"/>
    <n v="0"/>
    <n v="222199.08"/>
    <n v="-17159.919999999998"/>
    <n v="0.92830885824222198"/>
  </r>
  <r>
    <x v="0"/>
    <x v="0"/>
    <x v="21"/>
    <n v="0"/>
    <n v="0"/>
    <n v="0"/>
    <n v="1940"/>
    <n v="0"/>
    <n v="1940"/>
    <n v="1940"/>
    <n v="1"/>
    <n v="3006.733334"/>
    <n v="0"/>
    <n v="3006.733334"/>
    <n v="3006.733334"/>
    <n v="1"/>
  </r>
  <r>
    <x v="0"/>
    <x v="4"/>
    <x v="22"/>
    <n v="158666757"/>
    <n v="733836"/>
    <n v="159400593"/>
    <n v="49326402.829999998"/>
    <n v="0"/>
    <n v="49326402.829999998"/>
    <n v="-110074190.17"/>
    <n v="0.30944930568733831"/>
    <n v="146265628.03332099"/>
    <n v="14329372"/>
    <n v="160595000.03332099"/>
    <n v="1194407.0333209999"/>
    <n v="1.0074931153695332"/>
  </r>
  <r>
    <x v="0"/>
    <x v="5"/>
    <x v="23"/>
    <n v="5612825"/>
    <n v="15894"/>
    <n v="5628719"/>
    <n v="2032985.86"/>
    <n v="0"/>
    <n v="2032985.86"/>
    <n v="-3595733.14"/>
    <n v="0.36118091167812783"/>
    <n v="3823090.6966650002"/>
    <n v="1748825"/>
    <n v="5571915.6966650002"/>
    <n v="-56803.303334999997"/>
    <n v="0.98990830714146505"/>
  </r>
  <r>
    <x v="0"/>
    <x v="5"/>
    <x v="24"/>
    <n v="358500"/>
    <n v="0"/>
    <n v="358500"/>
    <n v="35673.760000000002"/>
    <n v="0"/>
    <n v="35673.760000000002"/>
    <n v="-322826.23999999999"/>
    <n v="9.9508396094839607E-2"/>
    <n v="355407.16333399998"/>
    <n v="0"/>
    <n v="355407.16333399998"/>
    <n v="-3092.8366660000002"/>
    <n v="0.99137284054114361"/>
  </r>
  <r>
    <x v="0"/>
    <x v="6"/>
    <x v="25"/>
    <n v="4457953"/>
    <n v="0"/>
    <n v="4457953"/>
    <n v="47882.78"/>
    <n v="0"/>
    <n v="47882.78"/>
    <n v="-4410070.22"/>
    <n v="1.0740979099600197E-2"/>
    <n v="3752822.7099990002"/>
    <n v="0"/>
    <n v="3752822.7099990002"/>
    <n v="-705130.29000100004"/>
    <n v="0.84182644141806784"/>
  </r>
  <r>
    <x v="0"/>
    <x v="7"/>
    <x v="26"/>
    <n v="145000"/>
    <n v="0"/>
    <n v="145000"/>
    <n v="77064.02"/>
    <n v="0"/>
    <n v="77064.02"/>
    <n v="-67935.98"/>
    <n v="0.53147599999999995"/>
    <n v="147395.599999"/>
    <n v="0"/>
    <n v="147395.599999"/>
    <n v="2395.599999"/>
    <n v="1.0165213793034482"/>
  </r>
  <r>
    <x v="0"/>
    <x v="8"/>
    <x v="27"/>
    <n v="314000"/>
    <n v="0"/>
    <n v="314000"/>
    <n v="166770.31"/>
    <n v="0"/>
    <n v="166770.31"/>
    <n v="-147229.69"/>
    <n v="0.53111563694267516"/>
    <n v="318971.29333299998"/>
    <n v="0"/>
    <n v="318971.29333299998"/>
    <n v="4971.2933329999996"/>
    <n v="1.0158321443726115"/>
  </r>
  <r>
    <x v="0"/>
    <x v="9"/>
    <x v="28"/>
    <n v="348000"/>
    <n v="0"/>
    <n v="348000"/>
    <n v="184814.49"/>
    <n v="0"/>
    <n v="184814.49"/>
    <n v="-163185.51"/>
    <n v="0.53107612068965515"/>
    <n v="353483.009999"/>
    <n v="0"/>
    <n v="353483.009999"/>
    <n v="5483.0099989999999"/>
    <n v="1.0157557758591953"/>
  </r>
  <r>
    <x v="0"/>
    <x v="10"/>
    <x v="29"/>
    <n v="2746702"/>
    <n v="0"/>
    <n v="2746702"/>
    <n v="419737.61"/>
    <n v="0"/>
    <n v="419737.61"/>
    <n v="-2326964.39"/>
    <n v="0.15281512519377785"/>
    <n v="1085645.8799940001"/>
    <n v="1445554"/>
    <n v="2531199.8799939998"/>
    <n v="-215502.12000600001"/>
    <n v="0.92154149958532083"/>
  </r>
  <r>
    <x v="0"/>
    <x v="10"/>
    <x v="30"/>
    <n v="20000"/>
    <n v="0"/>
    <n v="20000"/>
    <n v="0"/>
    <n v="0"/>
    <n v="0"/>
    <n v="-20000"/>
    <n v="0"/>
    <n v="1528"/>
    <n v="19500"/>
    <n v="21028"/>
    <n v="1028"/>
    <n v="1.0513999999999999"/>
  </r>
  <r>
    <x v="0"/>
    <x v="10"/>
    <x v="31"/>
    <n v="1196000"/>
    <n v="0"/>
    <n v="1196000"/>
    <n v="502831.09"/>
    <n v="0"/>
    <n v="502831.09"/>
    <n v="-693168.91"/>
    <n v="0.42042733277591976"/>
    <n v="1119954.1566659999"/>
    <n v="0"/>
    <n v="1119954.1566659999"/>
    <n v="-76045.843334000005"/>
    <n v="0.93641651895150502"/>
  </r>
  <r>
    <x v="0"/>
    <x v="10"/>
    <x v="32"/>
    <n v="1500"/>
    <n v="0"/>
    <n v="1500"/>
    <n v="0"/>
    <n v="0"/>
    <n v="0"/>
    <n v="-1500"/>
    <n v="0"/>
    <n v="0"/>
    <n v="1500"/>
    <n v="1500"/>
    <n v="0"/>
    <n v="1"/>
  </r>
  <r>
    <x v="0"/>
    <x v="10"/>
    <x v="33"/>
    <n v="418000"/>
    <n v="0"/>
    <n v="418000"/>
    <n v="274460.38"/>
    <n v="0"/>
    <n v="274460.38"/>
    <n v="-143539.62"/>
    <n v="0.65660377990430618"/>
    <n v="499091.319999"/>
    <n v="0"/>
    <n v="499091.319999"/>
    <n v="81091.319998999999"/>
    <n v="1.1939983732033492"/>
  </r>
  <r>
    <x v="0"/>
    <x v="10"/>
    <x v="34"/>
    <n v="35000"/>
    <n v="0"/>
    <n v="35000"/>
    <n v="29010.43"/>
    <n v="0"/>
    <n v="29010.43"/>
    <n v="-5989.57"/>
    <n v="0.82886942857142853"/>
    <n v="42512.803333000003"/>
    <n v="0"/>
    <n v="42512.803333000003"/>
    <n v="7512.8033329999998"/>
    <n v="1.2146515238"/>
  </r>
  <r>
    <x v="0"/>
    <x v="10"/>
    <x v="35"/>
    <n v="0"/>
    <n v="0"/>
    <n v="0"/>
    <n v="0"/>
    <n v="0"/>
    <n v="0"/>
    <n v="0"/>
    <n v="0"/>
    <n v="0"/>
    <n v="176000"/>
    <n v="176000"/>
    <n v="176000"/>
    <n v="1"/>
  </r>
  <r>
    <x v="0"/>
    <x v="11"/>
    <x v="36"/>
    <n v="367000"/>
    <n v="0"/>
    <n v="367000"/>
    <n v="192749.26"/>
    <n v="0"/>
    <n v="192749.26"/>
    <n v="-174250.74"/>
    <n v="0.52520234332425064"/>
    <n v="373599.91999800003"/>
    <n v="0"/>
    <n v="373599.91999800003"/>
    <n v="6599.9199980000003"/>
    <n v="1.0179834332370572"/>
  </r>
  <r>
    <x v="0"/>
    <x v="12"/>
    <x v="37"/>
    <n v="941273"/>
    <n v="0"/>
    <n v="941273"/>
    <n v="339660.67"/>
    <n v="0"/>
    <n v="339660.67"/>
    <n v="-601612.32999999996"/>
    <n v="0.36085245194539733"/>
    <n v="720129.05666799995"/>
    <n v="221144"/>
    <n v="941273.05666799995"/>
    <n v="5.6668000000000003E-2"/>
    <n v="1.0000000602035755"/>
  </r>
  <r>
    <x v="0"/>
    <x v="12"/>
    <x v="38"/>
    <n v="100168"/>
    <n v="0"/>
    <n v="100168"/>
    <n v="69074"/>
    <n v="0"/>
    <n v="69074"/>
    <n v="-31094"/>
    <n v="0.68958150307483423"/>
    <n v="137392.11333399999"/>
    <n v="-37224"/>
    <n v="100168.11333399999"/>
    <n v="0.113334"/>
    <n v="1.0000011314391821"/>
  </r>
  <r>
    <x v="0"/>
    <x v="12"/>
    <x v="39"/>
    <n v="201400"/>
    <n v="0"/>
    <n v="201400"/>
    <n v="33561.5"/>
    <n v="0"/>
    <n v="33561.5"/>
    <n v="-167838.5"/>
    <n v="0.16664101290963257"/>
    <n v="214977.16666700001"/>
    <n v="0"/>
    <n v="214977.16666700001"/>
    <n v="13577.166667"/>
    <n v="1.0674139357845085"/>
  </r>
  <r>
    <x v="0"/>
    <x v="13"/>
    <x v="40"/>
    <n v="74713"/>
    <n v="0"/>
    <n v="74713"/>
    <n v="24017"/>
    <n v="0"/>
    <n v="24017"/>
    <n v="-50696"/>
    <n v="0.32145677459076732"/>
    <n v="184867.04333300001"/>
    <n v="-80000"/>
    <n v="104867.04333299999"/>
    <n v="30154.043333000001"/>
    <n v="1.4035983474495737"/>
  </r>
  <r>
    <x v="0"/>
    <x v="13"/>
    <x v="41"/>
    <n v="969000"/>
    <n v="0"/>
    <n v="969000"/>
    <n v="541405.18999999994"/>
    <n v="0"/>
    <n v="541405.18999999994"/>
    <n v="-427594.81"/>
    <n v="0.5587256862745098"/>
    <n v="843896.92666600004"/>
    <n v="0"/>
    <n v="843896.92666600004"/>
    <n v="-125103.073334"/>
    <n v="0.87089466116202274"/>
  </r>
  <r>
    <x v="0"/>
    <x v="14"/>
    <x v="42"/>
    <n v="853000"/>
    <n v="0"/>
    <n v="853000"/>
    <n v="129000"/>
    <n v="0"/>
    <n v="129000"/>
    <n v="-724000"/>
    <n v="0.15123094958968347"/>
    <n v="129000"/>
    <n v="724000"/>
    <n v="853000"/>
    <n v="0"/>
    <n v="1"/>
  </r>
  <r>
    <x v="0"/>
    <x v="14"/>
    <x v="43"/>
    <n v="100000"/>
    <n v="0"/>
    <n v="100000"/>
    <n v="0"/>
    <n v="0"/>
    <n v="0"/>
    <n v="-100000"/>
    <n v="0"/>
    <n v="0"/>
    <n v="100000"/>
    <n v="100000"/>
    <n v="0"/>
    <n v="1"/>
  </r>
  <r>
    <x v="0"/>
    <x v="14"/>
    <x v="44"/>
    <n v="2000"/>
    <n v="0"/>
    <n v="2000"/>
    <n v="2000"/>
    <n v="0"/>
    <n v="2000"/>
    <n v="0"/>
    <n v="1"/>
    <n v="2000"/>
    <n v="0"/>
    <n v="2000"/>
    <n v="0"/>
    <n v="1"/>
  </r>
  <r>
    <x v="0"/>
    <x v="15"/>
    <x v="45"/>
    <n v="200000"/>
    <n v="0"/>
    <n v="200000"/>
    <n v="-4305.62"/>
    <n v="0"/>
    <n v="-4305.62"/>
    <n v="-204305.62"/>
    <n v="-2.1528100000000001E-2"/>
    <n v="84217.186667000002"/>
    <n v="115783"/>
    <n v="200000.186667"/>
    <n v="0.186667"/>
    <n v="1.000000933335"/>
  </r>
  <r>
    <x v="1"/>
    <x v="0"/>
    <x v="0"/>
    <n v="49750"/>
    <n v="0"/>
    <n v="49750"/>
    <n v="17371.95"/>
    <n v="0"/>
    <n v="17371.95"/>
    <n v="32378.05"/>
    <n v="0.34918492462311557"/>
    <n v="27927.526665000001"/>
    <n v="0"/>
    <n v="27927.526665000001"/>
    <n v="21822.473334999999"/>
    <n v="0.56135731989949744"/>
  </r>
  <r>
    <x v="1"/>
    <x v="0"/>
    <x v="1"/>
    <n v="0"/>
    <n v="0"/>
    <n v="0"/>
    <n v="16.75"/>
    <n v="0"/>
    <n v="16.75"/>
    <n v="-16.75"/>
    <n v="-1"/>
    <n v="1922.51"/>
    <n v="0"/>
    <n v="1922.51"/>
    <n v="-1922.51"/>
    <n v="-1"/>
  </r>
  <r>
    <x v="1"/>
    <x v="0"/>
    <x v="2"/>
    <n v="0"/>
    <n v="0"/>
    <n v="0"/>
    <n v="6.89"/>
    <n v="0"/>
    <n v="6.89"/>
    <n v="-6.89"/>
    <n v="-1"/>
    <n v="10.593332999999999"/>
    <n v="0"/>
    <n v="10.593332999999999"/>
    <n v="-10.593332999999999"/>
    <n v="-1"/>
  </r>
  <r>
    <x v="1"/>
    <x v="0"/>
    <x v="3"/>
    <n v="0"/>
    <n v="0"/>
    <n v="0"/>
    <n v="-1847.65"/>
    <n v="0"/>
    <n v="-1847.65"/>
    <n v="1847.65"/>
    <n v="-1"/>
    <n v="623.09999800000003"/>
    <n v="0"/>
    <n v="623.09999800000003"/>
    <n v="-623.09999800000003"/>
    <n v="-1"/>
  </r>
  <r>
    <x v="1"/>
    <x v="0"/>
    <x v="4"/>
    <n v="500"/>
    <n v="0"/>
    <n v="500"/>
    <n v="2075.3200000000002"/>
    <n v="0"/>
    <n v="2075.3200000000002"/>
    <n v="-1575.32"/>
    <n v="4.1506400000000001"/>
    <n v="2109.2633329999999"/>
    <n v="0"/>
    <n v="2109.2633329999999"/>
    <n v="-1609.2633330000001"/>
    <n v="4.2185266659999998"/>
  </r>
  <r>
    <x v="1"/>
    <x v="0"/>
    <x v="5"/>
    <n v="0"/>
    <n v="0"/>
    <n v="0"/>
    <n v="5"/>
    <n v="0"/>
    <n v="5"/>
    <n v="-5"/>
    <n v="-1"/>
    <n v="7.91"/>
    <n v="0"/>
    <n v="7.91"/>
    <n v="-7.91"/>
    <n v="-1"/>
  </r>
  <r>
    <x v="1"/>
    <x v="0"/>
    <x v="6"/>
    <n v="2000"/>
    <n v="0"/>
    <n v="2000"/>
    <n v="12.5"/>
    <n v="0"/>
    <n v="12.5"/>
    <n v="1987.5"/>
    <n v="6.2500000000000003E-3"/>
    <n v="12.5"/>
    <n v="0"/>
    <n v="12.5"/>
    <n v="1987.5"/>
    <n v="6.2500000000000003E-3"/>
  </r>
  <r>
    <x v="1"/>
    <x v="0"/>
    <x v="7"/>
    <n v="0"/>
    <n v="0"/>
    <n v="0"/>
    <n v="-2387.59"/>
    <n v="0"/>
    <n v="-2387.59"/>
    <n v="2387.59"/>
    <n v="-1"/>
    <n v="1154.8666659999999"/>
    <n v="0"/>
    <n v="1154.8666659999999"/>
    <n v="-1154.8666659999999"/>
    <n v="-1"/>
  </r>
  <r>
    <x v="1"/>
    <x v="0"/>
    <x v="8"/>
    <n v="0"/>
    <n v="0"/>
    <n v="0"/>
    <n v="14.39"/>
    <n v="0"/>
    <n v="14.39"/>
    <n v="-14.39"/>
    <n v="-1"/>
    <n v="17.893332999999998"/>
    <n v="0"/>
    <n v="17.893332999999998"/>
    <n v="-17.893332999999998"/>
    <n v="-1"/>
  </r>
  <r>
    <x v="1"/>
    <x v="0"/>
    <x v="9"/>
    <n v="0"/>
    <n v="0"/>
    <n v="0"/>
    <n v="87.39"/>
    <n v="0"/>
    <n v="87.39"/>
    <n v="-87.39"/>
    <n v="-1"/>
    <n v="88.696665999999993"/>
    <n v="0"/>
    <n v="88.696665999999993"/>
    <n v="-88.696665999999993"/>
    <n v="-1"/>
  </r>
  <r>
    <x v="1"/>
    <x v="0"/>
    <x v="10"/>
    <n v="150"/>
    <n v="0"/>
    <n v="150"/>
    <n v="4097.3500000000004"/>
    <n v="0"/>
    <n v="4097.3500000000004"/>
    <n v="-3947.35"/>
    <n v="9.99"/>
    <n v="4164.9266669999997"/>
    <n v="0"/>
    <n v="4164.9266669999997"/>
    <n v="-4014.9266670000002"/>
    <n v="9.99"/>
  </r>
  <r>
    <x v="1"/>
    <x v="0"/>
    <x v="11"/>
    <n v="1700"/>
    <n v="0"/>
    <n v="1700"/>
    <n v="93.2"/>
    <n v="0"/>
    <n v="93.2"/>
    <n v="1606.8"/>
    <n v="5.4823529411764708E-2"/>
    <n v="95.71"/>
    <n v="0"/>
    <n v="95.71"/>
    <n v="1604.29"/>
    <n v="5.6300000000000003E-2"/>
  </r>
  <r>
    <x v="1"/>
    <x v="0"/>
    <x v="12"/>
    <n v="0"/>
    <n v="0"/>
    <n v="0"/>
    <n v="3299.6"/>
    <n v="0"/>
    <n v="3299.6"/>
    <n v="-3299.6"/>
    <n v="-1"/>
    <n v="3334.3033329999998"/>
    <n v="0"/>
    <n v="3334.3033329999998"/>
    <n v="-3334.3033329999998"/>
    <n v="-1"/>
  </r>
  <r>
    <x v="1"/>
    <x v="1"/>
    <x v="13"/>
    <n v="15385312"/>
    <n v="0"/>
    <n v="15385312"/>
    <n v="3413985.65"/>
    <n v="1682142.22"/>
    <n v="5096127.87"/>
    <n v="10289184.130000001"/>
    <n v="0.33123331330557354"/>
    <n v="12801874.276663"/>
    <n v="3012489"/>
    <n v="15814363.276663"/>
    <n v="-2111193.496663"/>
    <n v="1.1372213638997377"/>
  </r>
  <r>
    <x v="1"/>
    <x v="2"/>
    <x v="14"/>
    <n v="8895827"/>
    <n v="0"/>
    <n v="8895827"/>
    <n v="573073.41"/>
    <n v="249871.35999999999"/>
    <n v="822944.77"/>
    <n v="8072882.2300000004"/>
    <n v="9.250907981911069E-2"/>
    <n v="6275040.983329"/>
    <n v="1960046"/>
    <n v="8235086.983329"/>
    <n v="410868.656671"/>
    <n v="0.95381332655513651"/>
  </r>
  <r>
    <x v="1"/>
    <x v="3"/>
    <x v="15"/>
    <n v="1059616"/>
    <n v="0"/>
    <n v="1059616"/>
    <n v="169923.74"/>
    <n v="2396.9699999999998"/>
    <n v="172320.71"/>
    <n v="887295.29"/>
    <n v="0.16262562097967564"/>
    <n v="511095.09666400001"/>
    <n v="382875"/>
    <n v="893970.09666399995"/>
    <n v="163248.93333599999"/>
    <n v="0.84593576037356932"/>
  </r>
  <r>
    <x v="1"/>
    <x v="3"/>
    <x v="16"/>
    <n v="618000"/>
    <n v="0"/>
    <n v="618000"/>
    <n v="132444.85"/>
    <n v="54971.899999000001"/>
    <n v="187416.74999899999"/>
    <n v="430583.25000100001"/>
    <n v="0.30326334951294498"/>
    <n v="326971.46000000002"/>
    <n v="199399"/>
    <n v="526370.46"/>
    <n v="36657.640001"/>
    <n v="0.94068343041909386"/>
  </r>
  <r>
    <x v="1"/>
    <x v="0"/>
    <x v="17"/>
    <n v="1108632"/>
    <n v="0"/>
    <n v="1108632"/>
    <n v="223546.68"/>
    <n v="0"/>
    <n v="223546.68"/>
    <n v="885085.32"/>
    <n v="0.2016419154417336"/>
    <n v="754999.89666500001"/>
    <n v="288101"/>
    <n v="1043100.896665"/>
    <n v="65531.103335"/>
    <n v="0.94089012103655678"/>
  </r>
  <r>
    <x v="1"/>
    <x v="0"/>
    <x v="18"/>
    <n v="45000"/>
    <n v="0"/>
    <n v="45000"/>
    <n v="15965.3"/>
    <n v="60602"/>
    <n v="76567.3"/>
    <n v="-31567.3"/>
    <n v="1.7014955555555555"/>
    <n v="28071.896667000001"/>
    <n v="60000"/>
    <n v="88071.896666999994"/>
    <n v="-103673.89666699999"/>
    <n v="3.3038643703777777"/>
  </r>
  <r>
    <x v="1"/>
    <x v="0"/>
    <x v="19"/>
    <n v="4550619"/>
    <n v="0"/>
    <n v="4550619"/>
    <n v="656901.48"/>
    <n v="228859.87"/>
    <n v="885761.35"/>
    <n v="3664857.65"/>
    <n v="0.19464634371719539"/>
    <n v="2628687.5966500002"/>
    <n v="1000000"/>
    <n v="3628687.5966500002"/>
    <n v="693071.53335000004"/>
    <n v="0.84769730593793946"/>
  </r>
  <r>
    <x v="1"/>
    <x v="0"/>
    <x v="20"/>
    <n v="180759"/>
    <n v="0"/>
    <n v="180759"/>
    <n v="68479.61"/>
    <n v="0"/>
    <n v="68479.61"/>
    <n v="112279.39"/>
    <n v="0.37884481547253523"/>
    <n v="71632.646666000001"/>
    <n v="90000"/>
    <n v="161632.64666599999"/>
    <n v="19126.353333999999"/>
    <n v="0.89418865265906533"/>
  </r>
  <r>
    <x v="1"/>
    <x v="4"/>
    <x v="22"/>
    <n v="158666757"/>
    <n v="20084321"/>
    <n v="178751078"/>
    <n v="42194737.149999999"/>
    <n v="2243941.739997"/>
    <n v="44438678.889996998"/>
    <n v="134312399.11000299"/>
    <n v="0.24860649450179539"/>
    <n v="152886842.246584"/>
    <n v="9809209"/>
    <n v="162696051.246584"/>
    <n v="13811085.013419"/>
    <n v="0.92273565469955376"/>
  </r>
  <r>
    <x v="1"/>
    <x v="5"/>
    <x v="23"/>
    <n v="6697245"/>
    <n v="15894"/>
    <n v="6713139"/>
    <n v="1442786.98"/>
    <n v="203468.33"/>
    <n v="1646255.31"/>
    <n v="5066883.6900000004"/>
    <n v="0.24522884301963657"/>
    <n v="6000917.9633309999"/>
    <n v="0"/>
    <n v="6000917.9633309999"/>
    <n v="508752.70666899998"/>
    <n v="0.92421537723723579"/>
  </r>
  <r>
    <x v="1"/>
    <x v="5"/>
    <x v="24"/>
    <n v="368780"/>
    <n v="0"/>
    <n v="368780"/>
    <n v="77765.210000000006"/>
    <n v="102462.11"/>
    <n v="180227.32"/>
    <n v="188552.68"/>
    <n v="0.48871229459298227"/>
    <n v="357675.61666499998"/>
    <n v="0"/>
    <n v="357675.61666499998"/>
    <n v="-91357.726664999995"/>
    <n v="1.2477296129535225"/>
  </r>
  <r>
    <x v="1"/>
    <x v="6"/>
    <x v="25"/>
    <n v="3246641"/>
    <n v="0"/>
    <n v="3246641"/>
    <n v="575414.6"/>
    <n v="7379.54"/>
    <n v="582794.14"/>
    <n v="2663846.86"/>
    <n v="0.17950680102912517"/>
    <n v="2281132.009999"/>
    <n v="0"/>
    <n v="2281132.009999"/>
    <n v="958129.45000099996"/>
    <n v="0.70488592671595041"/>
  </r>
  <r>
    <x v="1"/>
    <x v="7"/>
    <x v="26"/>
    <n v="139000"/>
    <n v="80620"/>
    <n v="219620"/>
    <n v="15878.17"/>
    <n v="1753.71"/>
    <n v="17631.88"/>
    <n v="201988.12"/>
    <n v="8.0283580730352425E-2"/>
    <n v="139326.67333200001"/>
    <n v="0"/>
    <n v="139326.67333200001"/>
    <n v="78539.616668000002"/>
    <n v="0.64238404212731082"/>
  </r>
  <r>
    <x v="1"/>
    <x v="8"/>
    <x v="27"/>
    <n v="392712"/>
    <n v="0"/>
    <n v="392712"/>
    <n v="107743.18"/>
    <n v="153819.26999999999"/>
    <n v="261562.45"/>
    <n v="131149.54999999999"/>
    <n v="0.66604139929515782"/>
    <n v="361396.68"/>
    <n v="0"/>
    <n v="361396.68"/>
    <n v="-122503.95"/>
    <n v="1.3119434853022063"/>
  </r>
  <r>
    <x v="1"/>
    <x v="9"/>
    <x v="28"/>
    <n v="674097"/>
    <n v="0"/>
    <n v="674097"/>
    <n v="45469.79"/>
    <n v="0"/>
    <n v="45469.79"/>
    <n v="628627.21"/>
    <n v="6.7452888827572291E-2"/>
    <n v="288564.313333"/>
    <n v="350000"/>
    <n v="638564.31333300006"/>
    <n v="35532.686667000002"/>
    <n v="0.94728846639726927"/>
  </r>
  <r>
    <x v="1"/>
    <x v="10"/>
    <x v="29"/>
    <n v="2994524"/>
    <n v="0"/>
    <n v="2994524"/>
    <n v="861730.32"/>
    <n v="9940.69"/>
    <n v="871671.01"/>
    <n v="2122852.9900000002"/>
    <n v="0.29108833657703193"/>
    <n v="3434165.729996"/>
    <n v="-727230"/>
    <n v="2706935.729996"/>
    <n v="277647.58000399999"/>
    <n v="0.90728156461460985"/>
  </r>
  <r>
    <x v="1"/>
    <x v="10"/>
    <x v="30"/>
    <n v="13500"/>
    <n v="0"/>
    <n v="13500"/>
    <n v="0"/>
    <n v="0"/>
    <n v="0"/>
    <n v="13500"/>
    <n v="0"/>
    <n v="0"/>
    <n v="13500"/>
    <n v="13500"/>
    <n v="0"/>
    <n v="1"/>
  </r>
  <r>
    <x v="1"/>
    <x v="10"/>
    <x v="31"/>
    <n v="1184877"/>
    <n v="0"/>
    <n v="1184877"/>
    <n v="156285.25"/>
    <n v="0"/>
    <n v="156285.25"/>
    <n v="1028591.75"/>
    <n v="0.13189997780360324"/>
    <n v="1230890.513333"/>
    <n v="-128133"/>
    <n v="1102757.513333"/>
    <n v="82119.486667000005"/>
    <n v="0.93069366131083653"/>
  </r>
  <r>
    <x v="1"/>
    <x v="10"/>
    <x v="32"/>
    <n v="8162"/>
    <n v="0"/>
    <n v="8162"/>
    <n v="0"/>
    <n v="0"/>
    <n v="0"/>
    <n v="8162"/>
    <n v="0"/>
    <n v="0"/>
    <n v="8162"/>
    <n v="8162"/>
    <n v="0"/>
    <n v="1"/>
  </r>
  <r>
    <x v="1"/>
    <x v="10"/>
    <x v="33"/>
    <n v="442444"/>
    <n v="0"/>
    <n v="442444"/>
    <n v="17520.259999999998"/>
    <n v="0"/>
    <n v="17520.259999999998"/>
    <n v="424923.74"/>
    <n v="3.9598819285604506E-2"/>
    <n v="330139.40999800002"/>
    <n v="0"/>
    <n v="330139.40999800002"/>
    <n v="112304.590002"/>
    <n v="0.7461721935386173"/>
  </r>
  <r>
    <x v="1"/>
    <x v="10"/>
    <x v="34"/>
    <n v="64255"/>
    <n v="0"/>
    <n v="64255"/>
    <n v="0"/>
    <n v="0"/>
    <n v="0"/>
    <n v="64255"/>
    <n v="0"/>
    <n v="0"/>
    <n v="63000"/>
    <n v="63000"/>
    <n v="1255"/>
    <n v="0.98046844603532801"/>
  </r>
  <r>
    <x v="1"/>
    <x v="10"/>
    <x v="35"/>
    <n v="0"/>
    <n v="721655"/>
    <n v="721655"/>
    <n v="4887.3999999999996"/>
    <n v="0"/>
    <n v="4887.3999999999996"/>
    <n v="716767.6"/>
    <n v="6.772488238839889E-3"/>
    <n v="9314.0199990000001"/>
    <n v="0"/>
    <n v="9314.0199990000001"/>
    <n v="712340.98000099999"/>
    <n v="1.2906471927721696E-2"/>
  </r>
  <r>
    <x v="1"/>
    <x v="11"/>
    <x v="36"/>
    <n v="367000"/>
    <n v="0"/>
    <n v="367000"/>
    <n v="12118.67"/>
    <n v="0"/>
    <n v="12118.67"/>
    <n v="354881.33"/>
    <n v="3.3020899182561306E-2"/>
    <n v="25126.316665999999"/>
    <n v="327977"/>
    <n v="353103.316666"/>
    <n v="13896.683333999999"/>
    <n v="0.96213437783651223"/>
  </r>
  <r>
    <x v="1"/>
    <x v="12"/>
    <x v="37"/>
    <n v="879583"/>
    <n v="0"/>
    <n v="879583"/>
    <n v="188606.01"/>
    <n v="17460"/>
    <n v="206066.01"/>
    <n v="673516.99"/>
    <n v="0.23427693577524805"/>
    <n v="842960.07333200006"/>
    <n v="19000"/>
    <n v="861960.07333200006"/>
    <n v="162.92666800000001"/>
    <n v="0.99981476828451665"/>
  </r>
  <r>
    <x v="1"/>
    <x v="12"/>
    <x v="38"/>
    <n v="98792"/>
    <n v="0"/>
    <n v="98792"/>
    <n v="21700.44"/>
    <n v="10625"/>
    <n v="32325.439999999999"/>
    <n v="66466.559999999998"/>
    <n v="0.32720706130051014"/>
    <n v="93575.47"/>
    <n v="0"/>
    <n v="93575.47"/>
    <n v="-5408.47"/>
    <n v="1.0547460320673738"/>
  </r>
  <r>
    <x v="1"/>
    <x v="12"/>
    <x v="39"/>
    <n v="201400"/>
    <n v="0"/>
    <n v="201400"/>
    <n v="35845.79"/>
    <n v="774.03"/>
    <n v="36619.82"/>
    <n v="164780.18"/>
    <n v="0.1818263157894737"/>
    <n v="45096.35"/>
    <n v="160000"/>
    <n v="205096.35"/>
    <n v="-4470.38"/>
    <n v="1.0221965243296922"/>
  </r>
  <r>
    <x v="1"/>
    <x v="13"/>
    <x v="40"/>
    <n v="74713"/>
    <n v="0"/>
    <n v="74713"/>
    <n v="20676.21"/>
    <n v="15956.68"/>
    <n v="36632.89"/>
    <n v="38080.11"/>
    <n v="0.49031480465247013"/>
    <n v="55066.53"/>
    <n v="20000"/>
    <n v="75066.53"/>
    <n v="-16310.21"/>
    <n v="1.2183048465461164"/>
  </r>
  <r>
    <x v="1"/>
    <x v="13"/>
    <x v="41"/>
    <n v="969000"/>
    <n v="0"/>
    <n v="969000"/>
    <n v="116755.62"/>
    <n v="3473.3"/>
    <n v="120228.92"/>
    <n v="848771.08"/>
    <n v="0.1240752528379773"/>
    <n v="516414.89666500001"/>
    <n v="200000"/>
    <n v="716414.89666500001"/>
    <n v="249111.803335"/>
    <n v="0.74291867560887515"/>
  </r>
  <r>
    <x v="1"/>
    <x v="14"/>
    <x v="46"/>
    <n v="30000"/>
    <n v="0"/>
    <n v="30000"/>
    <n v="9500"/>
    <n v="0"/>
    <n v="9500"/>
    <n v="20500"/>
    <n v="0.31666666666666665"/>
    <n v="22000"/>
    <n v="0"/>
    <n v="22000"/>
    <n v="8000"/>
    <n v="0.73333333333333328"/>
  </r>
  <r>
    <x v="1"/>
    <x v="14"/>
    <x v="47"/>
    <n v="756000"/>
    <n v="200227"/>
    <n v="956227"/>
    <n v="174639.68"/>
    <n v="16033"/>
    <n v="190672.68"/>
    <n v="765554.32"/>
    <n v="0.19940106271837127"/>
    <n v="631349.61333299999"/>
    <n v="0"/>
    <n v="631349.61333299999"/>
    <n v="308844.38666700001"/>
    <n v="0.67701770953235996"/>
  </r>
  <r>
    <x v="1"/>
    <x v="14"/>
    <x v="43"/>
    <n v="100000"/>
    <n v="313770"/>
    <n v="413770"/>
    <n v="5669.94"/>
    <n v="0"/>
    <n v="5669.94"/>
    <n v="408100.06"/>
    <n v="1.370312009087174E-2"/>
    <n v="6504.6633330000004"/>
    <n v="80000"/>
    <n v="86504.663333000004"/>
    <n v="327265.33666700003"/>
    <n v="0.20906460916209488"/>
  </r>
  <r>
    <x v="1"/>
    <x v="14"/>
    <x v="48"/>
    <n v="75000"/>
    <n v="43263"/>
    <n v="118263"/>
    <n v="0"/>
    <n v="0"/>
    <n v="0"/>
    <n v="118263"/>
    <n v="0"/>
    <n v="0"/>
    <n v="75000"/>
    <n v="75000"/>
    <n v="43263"/>
    <n v="0.6341797519088811"/>
  </r>
  <r>
    <x v="1"/>
    <x v="14"/>
    <x v="44"/>
    <n v="2000"/>
    <n v="0"/>
    <n v="2000"/>
    <n v="0"/>
    <n v="0"/>
    <n v="0"/>
    <n v="2000"/>
    <n v="0"/>
    <n v="0"/>
    <n v="0"/>
    <n v="0"/>
    <n v="2000"/>
    <n v="0"/>
  </r>
  <r>
    <x v="1"/>
    <x v="15"/>
    <x v="45"/>
    <n v="292558"/>
    <n v="0"/>
    <n v="292558"/>
    <n v="170481.41"/>
    <n v="73440"/>
    <n v="243921.41"/>
    <n v="48636.59"/>
    <n v="0.83375402484293715"/>
    <n v="370302.49999899999"/>
    <n v="0"/>
    <n v="370302.49999899999"/>
    <n v="-151184.49999899999"/>
    <n v="1.5167676153070502"/>
  </r>
  <r>
    <x v="1"/>
    <x v="15"/>
    <x v="49"/>
    <n v="97250"/>
    <n v="0"/>
    <n v="97250"/>
    <n v="42688.44"/>
    <n v="188917.81"/>
    <n v="231606.25"/>
    <n v="-134356.25"/>
    <n v="2.3815552699228792"/>
    <n v="86497.486667000005"/>
    <n v="180000"/>
    <n v="266497.48666699999"/>
    <n v="-358165.29666699999"/>
    <n v="4.68293364182005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E7EC5F7-28B5-42E7-981D-2FB8378B2E95}" name="Report" cacheId="17" applyNumberFormats="0" applyBorderFormats="0" applyFontFormats="0" applyPatternFormats="0" applyAlignmentFormats="0" applyWidthHeightFormats="0" dataCaption="" updatedVersion="8" rowGrandTotals="0" compact="0" compactData="0">
  <location ref="A10:K17" firstHeaderRow="1" firstDataRow="2" firstDataCol="3"/>
  <pivotFields count="16">
    <pivotField name="Account Type" axis="axisRow" compact="0" outline="0" multipleItemSelectionAllowed="1" showAll="0" sortType="ascending">
      <items count="3">
        <item x="1"/>
        <item x="0"/>
        <item t="default"/>
      </items>
    </pivotField>
    <pivotField name="Fund Group" axis="axisRow" compact="0" outline="0" multipleItemSelectionAllowed="1" showAll="0" sortType="ascending">
      <items count="17">
        <item sd="0" x="0"/>
        <item sd="0" x="15"/>
        <item sd="0" x="10"/>
        <item sd="0" x="12"/>
        <item sd="0" x="6"/>
        <item sd="0" x="2"/>
        <item sd="0" x="11"/>
        <item sd="0" x="1"/>
        <item sd="0" x="9"/>
        <item sd="0" x="8"/>
        <item sd="0" x="7"/>
        <item sd="0" x="14"/>
        <item x="4"/>
        <item sd="0" x="13"/>
        <item sd="0" x="3"/>
        <item sd="0" x="5"/>
        <item t="default"/>
      </items>
    </pivotField>
    <pivotField name="Fund" axis="axisRow" compact="0" outline="0" multipleItemSelectionAllowed="1" showAll="0" sortType="ascending">
      <items count="51">
        <item h="1" x="0"/>
        <item h="1" x="1"/>
        <item h="1" x="2"/>
        <item h="1" x="3"/>
        <item h="1" x="4"/>
        <item h="1" x="5"/>
        <item h="1" x="6"/>
        <item h="1" x="7"/>
        <item h="1" x="8"/>
        <item h="1" x="9"/>
        <item h="1" x="10"/>
        <item h="1" x="11"/>
        <item h="1" x="12"/>
        <item h="1" x="13"/>
        <item h="1" x="14"/>
        <item h="1" x="15"/>
        <item h="1" x="17"/>
        <item x="22"/>
        <item h="1" x="23"/>
        <item h="1" x="24"/>
        <item h="1" x="25"/>
        <item h="1" x="16"/>
        <item h="1" x="18"/>
        <item h="1" x="29"/>
        <item h="1" x="30"/>
        <item h="1" x="31"/>
        <item h="1" x="32"/>
        <item h="1" x="33"/>
        <item h="1" x="34"/>
        <item h="1" x="35"/>
        <item h="1" x="36"/>
        <item h="1" x="26"/>
        <item h="1" x="19"/>
        <item h="1" x="27"/>
        <item h="1" x="28"/>
        <item h="1" x="37"/>
        <item h="1" x="38"/>
        <item h="1" x="40"/>
        <item h="1" x="41"/>
        <item h="1" x="42"/>
        <item h="1" x="46"/>
        <item h="1" x="47"/>
        <item h="1" x="43"/>
        <item h="1" x="48"/>
        <item h="1" x="44"/>
        <item h="1" x="39"/>
        <item h="1" x="45"/>
        <item h="1" x="49"/>
        <item h="1" x="20"/>
        <item h="1" x="21"/>
        <item t="default"/>
      </items>
    </pivotField>
    <pivotField name="Orig Base" dataField="1" compact="0" numFmtId="165" outline="0" multipleItemSelectionAllowed="1" showAll="0"/>
    <pivotField name="Adj Bud" compact="0" numFmtId="165" outline="0" multipleItemSelectionAllowed="1" showAll="0"/>
    <pivotField name="Final Bud" dataField="1" compact="0" numFmtId="165" outline="0" multipleItemSelectionAllowed="1" showAll="0"/>
    <pivotField name="Actual" dataField="1" compact="0" numFmtId="165" outline="0" multipleItemSelectionAllowed="1" showAll="0"/>
    <pivotField name="Encumb" dataField="1" compact="0" numFmtId="165" outline="0" multipleItemSelectionAllowed="1" showAll="0"/>
    <pivotField name="YTD Total" dataField="1" compact="0" numFmtId="165" outline="0" multipleItemSelectionAllowed="1" showAll="0"/>
    <pivotField name="YTD Bal" dataField="1" compact="0" numFmtId="165" outline="0" multipleItemSelectionAllowed="1" showAll="0"/>
    <pivotField name="YTD %" compact="0" numFmtId="166" outline="0" multipleItemSelectionAllowed="1" showAll="0"/>
    <pivotField name="Projection" compact="0" numFmtId="165" outline="0" multipleItemSelectionAllowed="1" showAll="0"/>
    <pivotField name="Projection Adj" compact="0" numFmtId="165" outline="0" multipleItemSelectionAllowed="1" showAll="0"/>
    <pivotField name="Final Proj" dataField="1" compact="0" numFmtId="165" outline="0" multipleItemSelectionAllowed="1" showAll="0"/>
    <pivotField name="Proj Bal" dataField="1" compact="0" numFmtId="165" outline="0" multipleItemSelectionAllowed="1" showAll="0"/>
    <pivotField name="Proj % " compact="0" numFmtId="166" outline="0" multipleItemSelectionAllowed="1" showAll="0"/>
  </pivotFields>
  <rowFields count="3">
    <field x="0"/>
    <field x="1"/>
    <field x="2"/>
  </rowFields>
  <rowItems count="6">
    <i>
      <x/>
      <x v="12"/>
      <x v="17"/>
    </i>
    <i t="default" r="1">
      <x v="12"/>
    </i>
    <i t="default">
      <x/>
    </i>
    <i>
      <x v="1"/>
      <x v="12"/>
      <x v="17"/>
    </i>
    <i t="default" r="1">
      <x v="12"/>
    </i>
    <i t="default">
      <x v="1"/>
    </i>
  </rowItems>
  <colFields count="1">
    <field x="-2"/>
  </colFields>
  <colItems count="8">
    <i>
      <x/>
    </i>
    <i i="1">
      <x v="1"/>
    </i>
    <i i="2">
      <x v="2"/>
    </i>
    <i i="3">
      <x v="3"/>
    </i>
    <i i="4">
      <x v="4"/>
    </i>
    <i i="5">
      <x v="5"/>
    </i>
    <i i="6">
      <x v="6"/>
    </i>
    <i i="7">
      <x v="7"/>
    </i>
  </colItems>
  <dataFields count="8">
    <dataField name="Original / Base" fld="3" baseField="0"/>
    <dataField name="Final Budget" fld="5" baseField="0"/>
    <dataField name="Actuals" fld="6" baseField="0"/>
    <dataField name="Encumbrances" fld="7" baseField="0"/>
    <dataField name="YTDTotal" fld="8" baseField="0"/>
    <dataField name="YTD Balance" fld="9" baseField="0"/>
    <dataField name="Final Projection" fld="13" baseField="0"/>
    <dataField name="Projected Balance" fld="14"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_Group1" xr10:uid="{0F1752AE-BED4-4716-9899-F8EEE3EFD45A}" sourceName="Fund Group">
  <pivotTables>
    <pivotTable tabId="2" name="Report"/>
  </pivotTables>
  <data>
    <tabular pivotCacheId="1824282898">
      <items count="16">
        <i x="4" s="1"/>
        <i x="0" s="1" nd="1"/>
        <i x="15" s="1" nd="1"/>
        <i x="10" s="1" nd="1"/>
        <i x="12" s="1" nd="1"/>
        <i x="6" s="1" nd="1"/>
        <i x="2" s="1" nd="1"/>
        <i x="11" s="1" nd="1"/>
        <i x="1" s="1" nd="1"/>
        <i x="9" s="1" nd="1"/>
        <i x="8" s="1" nd="1"/>
        <i x="7" s="1" nd="1"/>
        <i x="14" s="1" nd="1"/>
        <i x="13" s="1" nd="1"/>
        <i x="3" s="1" nd="1"/>
        <i x="5"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1" xr10:uid="{D50F9778-16F5-4007-AEEA-2AE4E2A996DB}" sourceName="Fund">
  <pivotTables>
    <pivotTable tabId="2" name="Report"/>
  </pivotTables>
  <data>
    <tabular pivotCacheId="1824282898">
      <items count="50">
        <i x="0"/>
        <i x="1"/>
        <i x="2"/>
        <i x="3"/>
        <i x="4"/>
        <i x="5"/>
        <i x="6"/>
        <i x="7"/>
        <i x="8"/>
        <i x="9"/>
        <i x="10"/>
        <i x="11"/>
        <i x="12"/>
        <i x="13"/>
        <i x="14"/>
        <i x="15"/>
        <i x="17"/>
        <i x="22" s="1"/>
        <i x="23"/>
        <i x="24"/>
        <i x="25"/>
        <i x="16"/>
        <i x="18"/>
        <i x="29"/>
        <i x="30"/>
        <i x="31"/>
        <i x="32"/>
        <i x="33"/>
        <i x="34"/>
        <i x="35"/>
        <i x="36"/>
        <i x="26"/>
        <i x="19"/>
        <i x="27"/>
        <i x="28"/>
        <i x="37"/>
        <i x="38"/>
        <i x="40"/>
        <i x="41"/>
        <i x="42"/>
        <i x="46"/>
        <i x="47"/>
        <i x="43"/>
        <i x="48"/>
        <i x="44"/>
        <i x="39"/>
        <i x="45"/>
        <i x="49"/>
        <i x="20"/>
        <i x="2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nd Group" xr10:uid="{7CF8DEE8-26A4-4EA5-9CAA-FDF8C28054BD}" cache="Slicer_Fund_Group1" caption="Fund Group" columnCount="2" rowHeight="241300"/>
  <slicer name="Fund" xr10:uid="{B7D7562E-09CB-4E62-A65B-208F9238443E}" cache="Slicer_Fund1" caption="Fund"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3A2538-149A-4631-9065-8CA096F0DFF8}" name="Table1" displayName="Table1" ref="A3:P97" totalsRowShown="0" headerRowDxfId="20" dataDxfId="21" headerRowBorderDxfId="38" tableBorderDxfId="39">
  <autoFilter ref="A3:P97" xr:uid="{DA3A2538-149A-4631-9065-8CA096F0DFF8}"/>
  <tableColumns count="16">
    <tableColumn id="1" xr3:uid="{9CFEBBDB-C323-4182-AA86-81B07E422E0F}" name="Account Type" dataDxfId="37"/>
    <tableColumn id="2" xr3:uid="{A7898D25-2CE4-4DD3-B37B-429EDF8F459A}" name="Fund Group" dataDxfId="36"/>
    <tableColumn id="3" xr3:uid="{1CD6CBAB-B6D9-4B70-B94D-6698F278CB2E}" name="Fund" dataDxfId="35"/>
    <tableColumn id="4" xr3:uid="{59C87BC7-5CCC-438A-AD3F-BD06FB4EDF15}" name="Orig Base" dataDxfId="34"/>
    <tableColumn id="5" xr3:uid="{A83D8919-38A6-4FF2-9460-62437AC91CDF}" name="Adj Bud" dataDxfId="33"/>
    <tableColumn id="6" xr3:uid="{D913647C-75B7-47AF-A74A-766F4A4E6976}" name="Final Bud" dataDxfId="32"/>
    <tableColumn id="7" xr3:uid="{F256FC90-E66F-42B5-A8AC-6AA936283910}" name="Actual" dataDxfId="31"/>
    <tableColumn id="8" xr3:uid="{97446727-C462-42B5-8A55-E0EE4B43CF15}" name="Encumb" dataDxfId="30"/>
    <tableColumn id="9" xr3:uid="{F064F51A-C434-4E0B-BEAB-127E5C2C7811}" name="YTD Total" dataDxfId="29"/>
    <tableColumn id="10" xr3:uid="{27EA5BDE-8BC4-4D80-BA0F-FF31097E4A36}" name="YTD Bal" dataDxfId="28"/>
    <tableColumn id="11" xr3:uid="{45F0CCE8-6B11-4B06-81C4-E80C26AAB203}" name="YTD %" dataDxfId="27"/>
    <tableColumn id="12" xr3:uid="{73DC8F3F-E30F-4064-82DA-785F4189F663}" name="Projection" dataDxfId="26"/>
    <tableColumn id="13" xr3:uid="{EB104311-6E3B-4E77-8363-CAED1A7F449A}" name="Projection Adj" dataDxfId="25"/>
    <tableColumn id="14" xr3:uid="{B4DDC27C-603D-4234-B1A7-BF08F290249F}" name="Final Proj" dataDxfId="24"/>
    <tableColumn id="15" xr3:uid="{AC4D8434-AC18-4B7A-8E41-A9E203AB042A}" name="Proj Bal" dataDxfId="23"/>
    <tableColumn id="16" xr3:uid="{DE4F85C0-A6FA-40CA-91BA-47BEEB1436D5}" name="Proj % "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DB368B-4E18-4429-B2A0-9782719A13EB}" name="Table13" displayName="Table13" ref="A3:P97" totalsRowShown="0" headerRowDxfId="19" dataDxfId="18" headerRowBorderDxfId="16" tableBorderDxfId="17">
  <autoFilter ref="A3:P97" xr:uid="{DA3A2538-149A-4631-9065-8CA096F0DFF8}"/>
  <tableColumns count="16">
    <tableColumn id="1" xr3:uid="{F64A9BF0-96FC-4738-AC92-59C151DA19E0}" name="Account Type" dataDxfId="15"/>
    <tableColumn id="2" xr3:uid="{F70A8D81-CEF4-46A8-960C-BE8FFF2659B0}" name="Fund Group" dataDxfId="14"/>
    <tableColumn id="3" xr3:uid="{02E873B4-14F3-4754-8D07-80F3EFD5C6E2}" name="Fund" dataDxfId="13"/>
    <tableColumn id="4" xr3:uid="{5E270627-1791-4D1D-A6A9-BC0E620AF078}" name="Orig Base" dataDxfId="12"/>
    <tableColumn id="5" xr3:uid="{E76C761D-A7C8-44B3-A2CA-0DC4722A75CA}" name="Adj Bud" dataDxfId="11"/>
    <tableColumn id="6" xr3:uid="{BA350FA6-9FD2-459E-8419-23DAB52E4EA8}" name="Final Bud" dataDxfId="10"/>
    <tableColumn id="7" xr3:uid="{F9ECE487-72AC-44DF-A8AA-B817B9BBB882}" name="Actual" dataDxfId="9"/>
    <tableColumn id="8" xr3:uid="{98BEAE3C-6402-44B6-B7DC-19BD7C77F3ED}" name="Encumb" dataDxfId="8"/>
    <tableColumn id="9" xr3:uid="{E8A2ED8A-A2C6-430B-B9A1-F949122DEF06}" name="YTD Total" dataDxfId="7"/>
    <tableColumn id="10" xr3:uid="{7051CE58-1E20-45DE-A9FB-B38A84FE8C86}" name="YTD Bal" dataDxfId="6"/>
    <tableColumn id="11" xr3:uid="{2686DC29-0866-4CF2-AF28-2F8A5D580634}" name="YTD %" dataDxfId="5"/>
    <tableColumn id="12" xr3:uid="{3259CED4-32D5-4CB7-AE73-4469A3431AD5}" name="Projection" dataDxfId="4"/>
    <tableColumn id="13" xr3:uid="{D7142AA5-EECD-4266-993F-647C7D3F9E3B}" name="Projection Adj" dataDxfId="3"/>
    <tableColumn id="14" xr3:uid="{503121AB-9715-4B16-A1F1-22BF4067AAC1}" name="Final Proj" dataDxfId="2"/>
    <tableColumn id="15" xr3:uid="{37F3A05A-A333-48FA-8685-CC372B6D2355}" name="Proj Bal" dataDxfId="1"/>
    <tableColumn id="16" xr3:uid="{D8DCD171-9F7E-4EE8-8855-27295472BF90}" name="Proj % "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heetViews>
  <sheetFormatPr defaultColWidth="14.42578125" defaultRowHeight="15" customHeight="1" x14ac:dyDescent="0.25"/>
  <cols>
    <col min="1" max="26" width="9.140625" customWidth="1"/>
  </cols>
  <sheetData>
    <row r="1" spans="1:26" ht="12.75" customHeight="1" x14ac:dyDescent="0.25">
      <c r="A1" s="1" t="s">
        <v>0</v>
      </c>
      <c r="B1" s="2"/>
      <c r="C1" s="2"/>
      <c r="D1" s="2"/>
      <c r="E1" s="2"/>
      <c r="F1" s="2"/>
      <c r="G1" s="2"/>
      <c r="H1" s="2"/>
      <c r="I1" s="2"/>
      <c r="J1" s="2"/>
      <c r="K1" s="2"/>
      <c r="L1" s="2"/>
      <c r="M1" s="2"/>
      <c r="N1" s="2"/>
      <c r="O1" s="2"/>
      <c r="P1" s="2"/>
      <c r="Q1" s="2"/>
      <c r="R1" s="2"/>
      <c r="S1" s="2"/>
      <c r="T1" s="2"/>
      <c r="U1" s="2"/>
      <c r="V1" s="2"/>
      <c r="W1" s="2"/>
      <c r="X1" s="2"/>
      <c r="Y1" s="2"/>
      <c r="Z1" s="2"/>
    </row>
    <row r="2" spans="1:26" ht="12.75" customHeight="1" x14ac:dyDescent="0.25">
      <c r="A2" s="2"/>
      <c r="B2" s="2"/>
      <c r="C2" s="2"/>
      <c r="D2" s="2"/>
      <c r="E2" s="2"/>
      <c r="F2" s="2"/>
      <c r="G2" s="2"/>
      <c r="H2" s="2"/>
      <c r="I2" s="2"/>
      <c r="J2" s="2"/>
      <c r="K2" s="2"/>
      <c r="L2" s="2"/>
      <c r="M2" s="2"/>
      <c r="N2" s="2"/>
      <c r="O2" s="2"/>
      <c r="P2" s="2"/>
      <c r="Q2" s="2"/>
      <c r="R2" s="2"/>
      <c r="S2" s="2"/>
      <c r="T2" s="2"/>
      <c r="U2" s="2"/>
      <c r="V2" s="2"/>
      <c r="W2" s="2"/>
      <c r="X2" s="2"/>
      <c r="Y2" s="2"/>
      <c r="Z2" s="2"/>
    </row>
    <row r="3" spans="1:26" ht="12.75" customHeight="1" x14ac:dyDescent="0.25">
      <c r="A3" s="2"/>
      <c r="B3" s="3" t="s">
        <v>1</v>
      </c>
      <c r="C3" s="2"/>
      <c r="D3" s="2"/>
      <c r="E3" s="2"/>
      <c r="F3" s="2"/>
      <c r="G3" s="2"/>
      <c r="H3" s="2"/>
      <c r="I3" s="2"/>
      <c r="J3" s="2"/>
      <c r="K3" s="2"/>
      <c r="L3" s="2"/>
      <c r="M3" s="2"/>
      <c r="N3" s="2"/>
      <c r="O3" s="2"/>
      <c r="P3" s="2"/>
      <c r="Q3" s="2"/>
      <c r="R3" s="2"/>
      <c r="S3" s="2"/>
      <c r="T3" s="2"/>
      <c r="U3" s="2"/>
      <c r="V3" s="2"/>
      <c r="W3" s="2"/>
      <c r="X3" s="2"/>
      <c r="Y3" s="2"/>
      <c r="Z3" s="2"/>
    </row>
    <row r="4" spans="1:26" ht="12.75" customHeight="1" x14ac:dyDescent="0.25">
      <c r="A4" s="4" t="s">
        <v>2</v>
      </c>
      <c r="B4" s="65" t="s">
        <v>3</v>
      </c>
      <c r="C4" s="66"/>
      <c r="D4" s="66"/>
      <c r="E4" s="66"/>
      <c r="F4" s="66"/>
      <c r="G4" s="66"/>
      <c r="H4" s="66"/>
      <c r="I4" s="66"/>
      <c r="J4" s="66"/>
      <c r="K4" s="66"/>
      <c r="L4" s="66"/>
      <c r="M4" s="67"/>
      <c r="N4" s="2"/>
      <c r="O4" s="2"/>
      <c r="P4" s="2"/>
      <c r="Q4" s="2"/>
      <c r="R4" s="2"/>
      <c r="S4" s="2"/>
      <c r="T4" s="2"/>
      <c r="U4" s="2"/>
      <c r="V4" s="2"/>
      <c r="W4" s="2"/>
      <c r="X4" s="2"/>
      <c r="Y4" s="2"/>
      <c r="Z4" s="2"/>
    </row>
    <row r="5" spans="1:26" ht="12.75" customHeight="1" x14ac:dyDescent="0.25">
      <c r="A5" s="2"/>
      <c r="B5" s="68"/>
      <c r="C5" s="69"/>
      <c r="D5" s="69"/>
      <c r="E5" s="69"/>
      <c r="F5" s="69"/>
      <c r="G5" s="69"/>
      <c r="H5" s="69"/>
      <c r="I5" s="69"/>
      <c r="J5" s="69"/>
      <c r="K5" s="69"/>
      <c r="L5" s="69"/>
      <c r="M5" s="70"/>
      <c r="N5" s="2"/>
      <c r="O5" s="2"/>
      <c r="P5" s="2"/>
      <c r="Q5" s="2"/>
      <c r="R5" s="2"/>
      <c r="S5" s="2"/>
      <c r="T5" s="2"/>
      <c r="U5" s="2"/>
      <c r="V5" s="2"/>
      <c r="W5" s="2"/>
      <c r="X5" s="2"/>
      <c r="Y5" s="2"/>
      <c r="Z5" s="2"/>
    </row>
    <row r="6" spans="1:26" ht="12.75" customHeight="1" x14ac:dyDescent="0.25">
      <c r="A6" s="2"/>
      <c r="B6" s="2"/>
      <c r="C6" s="2"/>
      <c r="D6" s="2"/>
      <c r="E6" s="2"/>
      <c r="F6" s="2"/>
      <c r="G6" s="2"/>
      <c r="H6" s="2"/>
      <c r="I6" s="2"/>
      <c r="J6" s="2"/>
      <c r="K6" s="2"/>
      <c r="L6" s="2"/>
      <c r="M6" s="2"/>
      <c r="N6" s="2"/>
      <c r="O6" s="2"/>
      <c r="P6" s="2"/>
      <c r="Q6" s="2"/>
      <c r="R6" s="2"/>
      <c r="S6" s="2"/>
      <c r="T6" s="2"/>
      <c r="U6" s="2"/>
      <c r="V6" s="2"/>
      <c r="W6" s="2"/>
      <c r="X6" s="2"/>
      <c r="Y6" s="2"/>
      <c r="Z6" s="2"/>
    </row>
    <row r="7" spans="1:26" ht="12.75" customHeight="1" x14ac:dyDescent="0.25">
      <c r="A7" s="4" t="s">
        <v>4</v>
      </c>
      <c r="B7" s="65" t="s">
        <v>5</v>
      </c>
      <c r="C7" s="66"/>
      <c r="D7" s="66"/>
      <c r="E7" s="66"/>
      <c r="F7" s="66"/>
      <c r="G7" s="66"/>
      <c r="H7" s="66"/>
      <c r="I7" s="66"/>
      <c r="J7" s="66"/>
      <c r="K7" s="66"/>
      <c r="L7" s="66"/>
      <c r="M7" s="67"/>
      <c r="N7" s="2"/>
      <c r="O7" s="2"/>
      <c r="P7" s="2"/>
      <c r="Q7" s="2"/>
      <c r="R7" s="2"/>
      <c r="S7" s="2"/>
      <c r="T7" s="2"/>
      <c r="U7" s="2"/>
      <c r="V7" s="2"/>
      <c r="W7" s="2"/>
      <c r="X7" s="2"/>
      <c r="Y7" s="2"/>
      <c r="Z7" s="2"/>
    </row>
    <row r="8" spans="1:26" ht="12.75" customHeight="1" x14ac:dyDescent="0.25">
      <c r="A8" s="2"/>
      <c r="B8" s="68"/>
      <c r="C8" s="69"/>
      <c r="D8" s="69"/>
      <c r="E8" s="69"/>
      <c r="F8" s="69"/>
      <c r="G8" s="69"/>
      <c r="H8" s="69"/>
      <c r="I8" s="69"/>
      <c r="J8" s="69"/>
      <c r="K8" s="69"/>
      <c r="L8" s="69"/>
      <c r="M8" s="70"/>
      <c r="N8" s="2"/>
      <c r="O8" s="2"/>
      <c r="P8" s="2"/>
      <c r="Q8" s="2"/>
      <c r="R8" s="2"/>
      <c r="S8" s="2"/>
      <c r="T8" s="2"/>
      <c r="U8" s="2"/>
      <c r="V8" s="2"/>
      <c r="W8" s="2"/>
      <c r="X8" s="2"/>
      <c r="Y8" s="2"/>
      <c r="Z8" s="2"/>
    </row>
    <row r="9" spans="1:26" ht="12.75" customHeight="1" x14ac:dyDescent="0.25">
      <c r="A9" s="2"/>
      <c r="B9" s="2"/>
      <c r="C9" s="2"/>
      <c r="D9" s="2"/>
      <c r="E9" s="2"/>
      <c r="F9" s="2"/>
      <c r="G9" s="2"/>
      <c r="H9" s="2"/>
      <c r="I9" s="2"/>
      <c r="J9" s="2"/>
      <c r="K9" s="2"/>
      <c r="L9" s="2"/>
      <c r="M9" s="2"/>
      <c r="N9" s="2"/>
      <c r="O9" s="2"/>
      <c r="P9" s="2"/>
      <c r="Q9" s="2"/>
      <c r="R9" s="2"/>
      <c r="S9" s="2"/>
      <c r="T9" s="2"/>
      <c r="U9" s="2"/>
      <c r="V9" s="2"/>
      <c r="W9" s="2"/>
      <c r="X9" s="2"/>
      <c r="Y9" s="2"/>
      <c r="Z9" s="2"/>
    </row>
    <row r="10" spans="1:26" ht="12.75" customHeight="1" x14ac:dyDescent="0.25">
      <c r="A10" s="2"/>
      <c r="B10" s="3" t="s">
        <v>6</v>
      </c>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x14ac:dyDescent="0.25">
      <c r="A11" s="4" t="s">
        <v>7</v>
      </c>
      <c r="B11" s="65" t="s">
        <v>8</v>
      </c>
      <c r="C11" s="66"/>
      <c r="D11" s="66"/>
      <c r="E11" s="66"/>
      <c r="F11" s="66"/>
      <c r="G11" s="66"/>
      <c r="H11" s="66"/>
      <c r="I11" s="66"/>
      <c r="J11" s="66"/>
      <c r="K11" s="66"/>
      <c r="L11" s="66"/>
      <c r="M11" s="67"/>
      <c r="N11" s="2"/>
      <c r="O11" s="2"/>
      <c r="P11" s="2"/>
      <c r="Q11" s="2"/>
      <c r="R11" s="2"/>
      <c r="S11" s="2"/>
      <c r="T11" s="2"/>
      <c r="U11" s="2"/>
      <c r="V11" s="2"/>
      <c r="W11" s="2"/>
      <c r="X11" s="2"/>
      <c r="Y11" s="2"/>
      <c r="Z11" s="2"/>
    </row>
    <row r="12" spans="1:26" ht="12.75" customHeight="1" x14ac:dyDescent="0.25">
      <c r="A12" s="2"/>
      <c r="B12" s="68"/>
      <c r="C12" s="69"/>
      <c r="D12" s="69"/>
      <c r="E12" s="69"/>
      <c r="F12" s="69"/>
      <c r="G12" s="69"/>
      <c r="H12" s="69"/>
      <c r="I12" s="69"/>
      <c r="J12" s="69"/>
      <c r="K12" s="69"/>
      <c r="L12" s="69"/>
      <c r="M12" s="70"/>
      <c r="N12" s="2"/>
      <c r="O12" s="2"/>
      <c r="P12" s="2"/>
      <c r="Q12" s="2"/>
      <c r="R12" s="2"/>
      <c r="S12" s="2"/>
      <c r="T12" s="2"/>
      <c r="U12" s="2"/>
      <c r="V12" s="2"/>
      <c r="W12" s="2"/>
      <c r="X12" s="2"/>
      <c r="Y12" s="2"/>
      <c r="Z12" s="2"/>
    </row>
    <row r="13" spans="1:26" ht="12.75" customHeight="1" x14ac:dyDescent="0.25">
      <c r="A13" s="2"/>
      <c r="B13" s="3"/>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25">
      <c r="A14" s="4" t="s">
        <v>9</v>
      </c>
      <c r="B14" s="65" t="s">
        <v>10</v>
      </c>
      <c r="C14" s="66"/>
      <c r="D14" s="66"/>
      <c r="E14" s="66"/>
      <c r="F14" s="66"/>
      <c r="G14" s="66"/>
      <c r="H14" s="66"/>
      <c r="I14" s="66"/>
      <c r="J14" s="66"/>
      <c r="K14" s="66"/>
      <c r="L14" s="66"/>
      <c r="M14" s="67"/>
      <c r="N14" s="2"/>
      <c r="O14" s="2"/>
      <c r="P14" s="2"/>
      <c r="Q14" s="2"/>
      <c r="R14" s="2"/>
      <c r="S14" s="2"/>
      <c r="T14" s="2"/>
      <c r="U14" s="2"/>
      <c r="V14" s="2"/>
      <c r="W14" s="2"/>
      <c r="X14" s="2"/>
      <c r="Y14" s="2"/>
      <c r="Z14" s="2"/>
    </row>
    <row r="15" spans="1:26" ht="12.75" customHeight="1" x14ac:dyDescent="0.25">
      <c r="A15" s="4"/>
      <c r="B15" s="71"/>
      <c r="C15" s="72"/>
      <c r="D15" s="72"/>
      <c r="E15" s="72"/>
      <c r="F15" s="72"/>
      <c r="G15" s="72"/>
      <c r="H15" s="72"/>
      <c r="I15" s="72"/>
      <c r="J15" s="72"/>
      <c r="K15" s="72"/>
      <c r="L15" s="72"/>
      <c r="M15" s="73"/>
      <c r="N15" s="2"/>
      <c r="O15" s="2"/>
      <c r="P15" s="2"/>
      <c r="Q15" s="2"/>
      <c r="R15" s="2"/>
      <c r="S15" s="2"/>
      <c r="T15" s="2"/>
      <c r="U15" s="2"/>
      <c r="V15" s="2"/>
      <c r="W15" s="2"/>
      <c r="X15" s="2"/>
      <c r="Y15" s="2"/>
      <c r="Z15" s="2"/>
    </row>
    <row r="16" spans="1:26" ht="12.75" customHeight="1" x14ac:dyDescent="0.25">
      <c r="A16" s="2"/>
      <c r="B16" s="68"/>
      <c r="C16" s="69"/>
      <c r="D16" s="69"/>
      <c r="E16" s="69"/>
      <c r="F16" s="69"/>
      <c r="G16" s="69"/>
      <c r="H16" s="69"/>
      <c r="I16" s="69"/>
      <c r="J16" s="69"/>
      <c r="K16" s="69"/>
      <c r="L16" s="69"/>
      <c r="M16" s="70"/>
      <c r="N16" s="2"/>
      <c r="O16" s="2"/>
      <c r="P16" s="2"/>
      <c r="Q16" s="2"/>
      <c r="R16" s="2"/>
      <c r="S16" s="2"/>
      <c r="T16" s="2"/>
      <c r="U16" s="2"/>
      <c r="V16" s="2"/>
      <c r="W16" s="2"/>
      <c r="X16" s="2"/>
      <c r="Y16" s="2"/>
      <c r="Z16" s="2"/>
    </row>
    <row r="17" spans="1:26" ht="12.75" customHeight="1" x14ac:dyDescent="0.25">
      <c r="A17" s="2"/>
      <c r="B17" s="5"/>
      <c r="C17" s="5"/>
      <c r="D17" s="5"/>
      <c r="E17" s="5"/>
      <c r="F17" s="5"/>
      <c r="G17" s="5"/>
      <c r="H17" s="5"/>
      <c r="I17" s="5"/>
      <c r="J17" s="5"/>
      <c r="K17" s="5"/>
      <c r="L17" s="5"/>
      <c r="M17" s="5"/>
      <c r="N17" s="2"/>
      <c r="O17" s="2"/>
      <c r="P17" s="2"/>
      <c r="Q17" s="2"/>
      <c r="R17" s="2"/>
      <c r="S17" s="2"/>
      <c r="T17" s="2"/>
      <c r="U17" s="2"/>
      <c r="V17" s="2"/>
      <c r="W17" s="2"/>
      <c r="X17" s="2"/>
      <c r="Y17" s="2"/>
      <c r="Z17" s="2"/>
    </row>
    <row r="18" spans="1:26" ht="12.75" customHeight="1" x14ac:dyDescent="0.25">
      <c r="A18" s="2"/>
      <c r="B18" s="65" t="s">
        <v>11</v>
      </c>
      <c r="C18" s="66"/>
      <c r="D18" s="66"/>
      <c r="E18" s="66"/>
      <c r="F18" s="66"/>
      <c r="G18" s="66"/>
      <c r="H18" s="66"/>
      <c r="I18" s="66"/>
      <c r="J18" s="66"/>
      <c r="K18" s="66"/>
      <c r="L18" s="66"/>
      <c r="M18" s="67"/>
      <c r="N18" s="2"/>
      <c r="O18" s="2"/>
      <c r="P18" s="2"/>
      <c r="Q18" s="2"/>
      <c r="R18" s="2"/>
      <c r="S18" s="2"/>
      <c r="T18" s="2"/>
      <c r="U18" s="2"/>
      <c r="V18" s="2"/>
      <c r="W18" s="2"/>
      <c r="X18" s="2"/>
      <c r="Y18" s="2"/>
      <c r="Z18" s="2"/>
    </row>
    <row r="19" spans="1:26" ht="12.75" customHeight="1" x14ac:dyDescent="0.25">
      <c r="A19" s="2"/>
      <c r="B19" s="71"/>
      <c r="C19" s="72"/>
      <c r="D19" s="72"/>
      <c r="E19" s="72"/>
      <c r="F19" s="72"/>
      <c r="G19" s="72"/>
      <c r="H19" s="72"/>
      <c r="I19" s="72"/>
      <c r="J19" s="72"/>
      <c r="K19" s="72"/>
      <c r="L19" s="72"/>
      <c r="M19" s="73"/>
      <c r="N19" s="2"/>
      <c r="O19" s="2"/>
      <c r="P19" s="2"/>
      <c r="Q19" s="2"/>
      <c r="R19" s="2"/>
      <c r="S19" s="2"/>
      <c r="T19" s="2"/>
      <c r="U19" s="2"/>
      <c r="V19" s="2"/>
      <c r="W19" s="2"/>
      <c r="X19" s="2"/>
      <c r="Y19" s="2"/>
      <c r="Z19" s="2"/>
    </row>
    <row r="20" spans="1:26" ht="12.75" customHeight="1" x14ac:dyDescent="0.25">
      <c r="A20" s="2"/>
      <c r="B20" s="68"/>
      <c r="C20" s="69"/>
      <c r="D20" s="69"/>
      <c r="E20" s="69"/>
      <c r="F20" s="69"/>
      <c r="G20" s="69"/>
      <c r="H20" s="69"/>
      <c r="I20" s="69"/>
      <c r="J20" s="69"/>
      <c r="K20" s="69"/>
      <c r="L20" s="69"/>
      <c r="M20" s="70"/>
      <c r="N20" s="2"/>
      <c r="O20" s="2"/>
      <c r="P20" s="2"/>
      <c r="Q20" s="2"/>
      <c r="R20" s="2"/>
      <c r="S20" s="2"/>
      <c r="T20" s="2"/>
      <c r="U20" s="2"/>
      <c r="V20" s="2"/>
      <c r="W20" s="2"/>
      <c r="X20" s="2"/>
      <c r="Y20" s="2"/>
      <c r="Z20" s="2"/>
    </row>
    <row r="21" spans="1:26" ht="12.75" customHeight="1" x14ac:dyDescent="0.25">
      <c r="A21" s="2"/>
      <c r="B21" s="6" t="s">
        <v>12</v>
      </c>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t="s">
        <v>13</v>
      </c>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t="s">
        <v>14</v>
      </c>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t="s">
        <v>15</v>
      </c>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t="s">
        <v>16</v>
      </c>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t="s">
        <v>17</v>
      </c>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
    <mergeCell ref="B4:M5"/>
    <mergeCell ref="B7:M8"/>
    <mergeCell ref="B11:M12"/>
    <mergeCell ref="B14:M16"/>
    <mergeCell ref="B18:M2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00"/>
  <sheetViews>
    <sheetView showGridLines="0" tabSelected="1" workbookViewId="0">
      <selection activeCell="P26" sqref="P26"/>
    </sheetView>
  </sheetViews>
  <sheetFormatPr defaultColWidth="14.42578125" defaultRowHeight="15" customHeight="1" x14ac:dyDescent="0.25"/>
  <cols>
    <col min="1" max="1" width="18.5703125" customWidth="1"/>
    <col min="2" max="2" width="13.5703125" customWidth="1"/>
    <col min="3" max="3" width="12.28515625" customWidth="1"/>
    <col min="4" max="4" width="11.28515625" customWidth="1"/>
    <col min="5" max="5" width="13.42578125" customWidth="1"/>
    <col min="6" max="6" width="11.28515625" customWidth="1"/>
    <col min="7" max="7" width="13" customWidth="1"/>
    <col min="8" max="8" width="14.5703125" customWidth="1"/>
    <col min="9" max="9" width="16.5703125" customWidth="1"/>
    <col min="10" max="10" width="15" bestFit="1" customWidth="1"/>
    <col min="11" max="26" width="8.7109375" customWidth="1"/>
  </cols>
  <sheetData>
    <row r="1" spans="1:18" ht="14.25" customHeight="1" x14ac:dyDescent="0.3">
      <c r="A1" s="7" t="s">
        <v>18</v>
      </c>
      <c r="B1" s="8"/>
    </row>
    <row r="2" spans="1:18" ht="14.25" customHeight="1" x14ac:dyDescent="0.25">
      <c r="A2" s="9" t="s">
        <v>20</v>
      </c>
      <c r="B2" s="10" t="s">
        <v>21</v>
      </c>
    </row>
    <row r="3" spans="1:18" ht="14.25" customHeight="1" x14ac:dyDescent="0.25">
      <c r="A3" s="9" t="s">
        <v>22</v>
      </c>
      <c r="B3" s="11">
        <v>45199</v>
      </c>
      <c r="M3" s="74" t="s">
        <v>19</v>
      </c>
      <c r="N3" s="75"/>
      <c r="O3" s="75"/>
      <c r="P3" s="75"/>
      <c r="Q3" s="75"/>
      <c r="R3" s="76"/>
    </row>
    <row r="4" spans="1:18" ht="14.25" customHeight="1" x14ac:dyDescent="0.25">
      <c r="H4" s="10"/>
    </row>
    <row r="5" spans="1:18" ht="14.25" customHeight="1" x14ac:dyDescent="0.25">
      <c r="A5" s="12" t="s">
        <v>23</v>
      </c>
      <c r="B5" s="13" t="str">
        <f>Glossary!A4</f>
        <v>{a}</v>
      </c>
      <c r="C5" s="13" t="str">
        <f>Glossary!A7</f>
        <v>{b}</v>
      </c>
      <c r="D5" s="13"/>
      <c r="E5" s="13"/>
      <c r="F5" s="13"/>
      <c r="G5" s="13"/>
      <c r="H5" s="14" t="str">
        <f>Glossary!A11</f>
        <v>{c}</v>
      </c>
      <c r="I5" s="13" t="str">
        <f>Glossary!A14</f>
        <v>{d}</v>
      </c>
    </row>
    <row r="6" spans="1:18" ht="14.25" customHeight="1" x14ac:dyDescent="0.25">
      <c r="A6" s="8"/>
      <c r="B6" s="15" t="s">
        <v>24</v>
      </c>
      <c r="C6" s="15" t="s">
        <v>25</v>
      </c>
      <c r="D6" s="15" t="s">
        <v>26</v>
      </c>
      <c r="E6" s="15" t="s">
        <v>27</v>
      </c>
      <c r="F6" s="15" t="s">
        <v>28</v>
      </c>
      <c r="G6" s="15" t="s">
        <v>29</v>
      </c>
      <c r="H6" s="15" t="s">
        <v>30</v>
      </c>
      <c r="I6" s="16" t="s">
        <v>31</v>
      </c>
    </row>
    <row r="7" spans="1:18" ht="14.25" customHeight="1" x14ac:dyDescent="0.25">
      <c r="A7" s="17" t="s">
        <v>32</v>
      </c>
      <c r="B7" s="18">
        <f>GETPIVOTDATA("Original / Base",$A$10,"Account Type","Revenues")-GETPIVOTDATA("Original / Base",$A$10,"Account Type","Expenses")</f>
        <v>0</v>
      </c>
      <c r="C7" s="18">
        <f>GETPIVOTDATA("Final Budget",$A$10,"Account Type","Revenues")-GETPIVOTDATA("Final Budget",$A$10,"Account Type","Expenses")</f>
        <v>-19350485</v>
      </c>
      <c r="D7" s="18">
        <f>GETPIVOTDATA("Actuals",$A$10,"Account Type","Revenues")-GETPIVOTDATA("Actuals",$A$10,"Account Type","Expenses")</f>
        <v>7131665.6799999997</v>
      </c>
      <c r="E7" s="18">
        <f>GETPIVOTDATA("Encumbrances",$A$10,"Account Type","Revenues")-GETPIVOTDATA("Encumbrances",$A$10,"Account Type","Expenses")</f>
        <v>-2243941.739997</v>
      </c>
      <c r="F7" s="18">
        <f>GETPIVOTDATA("YTDTotal",$A$10,"Account Type","Revenues")-GETPIVOTDATA("YTDTotal",$A$10,"Account Type","Expenses")</f>
        <v>4887723.9400030002</v>
      </c>
      <c r="G7" s="18">
        <f>GETPIVOTDATA("YTD Balance",$A$10,"Account Type","Revenues")+GETPIVOTDATA("YTD Balance",$A$10,"Account Type","Expenses")</f>
        <v>24238208.940002993</v>
      </c>
      <c r="H7" s="19">
        <f>GETPIVOTDATA("Final Projection",$A$10,"Account Type","Revenues")-GETPIVOTDATA("Final Projection",$A$10,"Account Type","Expenses")</f>
        <v>-2101051.213263005</v>
      </c>
      <c r="I7" s="18">
        <f>GETPIVOTDATA("Projected Balance",$A$10,"Account Type","Revenues")+GETPIVOTDATA("Projected Balance",$A$10,"Account Type","Expenses")</f>
        <v>15005492.046740001</v>
      </c>
    </row>
    <row r="8" spans="1:18" ht="14.25" customHeight="1" x14ac:dyDescent="0.25">
      <c r="A8" s="20"/>
      <c r="B8" s="21"/>
      <c r="C8" s="21"/>
      <c r="D8" s="21"/>
      <c r="E8" s="21"/>
      <c r="F8" s="21"/>
      <c r="G8" s="21"/>
      <c r="H8" s="21"/>
      <c r="I8" s="21"/>
    </row>
    <row r="9" spans="1:18" ht="14.25" customHeight="1" x14ac:dyDescent="0.25">
      <c r="A9" s="10" t="s">
        <v>33</v>
      </c>
      <c r="B9" s="8"/>
      <c r="C9" s="22" t="s">
        <v>34</v>
      </c>
      <c r="D9" s="8"/>
      <c r="E9" s="8"/>
      <c r="F9" s="8"/>
      <c r="G9" s="8"/>
      <c r="H9" s="10"/>
      <c r="I9" s="10"/>
    </row>
    <row r="10" spans="1:18" ht="14.25" customHeight="1" x14ac:dyDescent="0.25">
      <c r="A10" s="56"/>
      <c r="B10" s="57"/>
      <c r="C10" s="57"/>
      <c r="D10" s="58" t="s">
        <v>145</v>
      </c>
      <c r="E10" s="57"/>
      <c r="F10" s="57"/>
      <c r="G10" s="57"/>
      <c r="H10" s="57"/>
      <c r="I10" s="57"/>
      <c r="J10" s="57"/>
      <c r="K10" s="59"/>
    </row>
    <row r="11" spans="1:18" ht="14.25" customHeight="1" x14ac:dyDescent="0.25">
      <c r="A11" s="58" t="s">
        <v>35</v>
      </c>
      <c r="B11" s="58" t="s">
        <v>36</v>
      </c>
      <c r="C11" s="58" t="s">
        <v>37</v>
      </c>
      <c r="D11" s="56" t="s">
        <v>24</v>
      </c>
      <c r="E11" s="60" t="s">
        <v>25</v>
      </c>
      <c r="F11" s="60" t="s">
        <v>26</v>
      </c>
      <c r="G11" s="60" t="s">
        <v>27</v>
      </c>
      <c r="H11" s="60" t="s">
        <v>28</v>
      </c>
      <c r="I11" s="60" t="s">
        <v>29</v>
      </c>
      <c r="J11" s="60" t="s">
        <v>30</v>
      </c>
      <c r="K11" s="61" t="s">
        <v>31</v>
      </c>
    </row>
    <row r="12" spans="1:18" ht="14.25" customHeight="1" x14ac:dyDescent="0.25">
      <c r="A12" s="56" t="s">
        <v>38</v>
      </c>
      <c r="B12" s="56" t="s">
        <v>39</v>
      </c>
      <c r="C12" s="56" t="s">
        <v>40</v>
      </c>
      <c r="D12" s="80">
        <v>158666757</v>
      </c>
      <c r="E12" s="81">
        <v>178751078</v>
      </c>
      <c r="F12" s="81">
        <v>42194737.149999999</v>
      </c>
      <c r="G12" s="81">
        <v>2243941.739997</v>
      </c>
      <c r="H12" s="81">
        <v>44438678.889996998</v>
      </c>
      <c r="I12" s="81">
        <v>134312399.11000299</v>
      </c>
      <c r="J12" s="81">
        <v>162696051.246584</v>
      </c>
      <c r="K12" s="82">
        <v>13811085.013419</v>
      </c>
    </row>
    <row r="13" spans="1:18" ht="14.25" customHeight="1" x14ac:dyDescent="0.25">
      <c r="A13" s="62"/>
      <c r="B13" s="56" t="s">
        <v>41</v>
      </c>
      <c r="C13" s="57"/>
      <c r="D13" s="80">
        <v>158666757</v>
      </c>
      <c r="E13" s="81">
        <v>178751078</v>
      </c>
      <c r="F13" s="81">
        <v>42194737.149999999</v>
      </c>
      <c r="G13" s="81">
        <v>2243941.739997</v>
      </c>
      <c r="H13" s="81">
        <v>44438678.889996998</v>
      </c>
      <c r="I13" s="81">
        <v>134312399.11000299</v>
      </c>
      <c r="J13" s="81">
        <v>162696051.246584</v>
      </c>
      <c r="K13" s="82">
        <v>13811085.013419</v>
      </c>
    </row>
    <row r="14" spans="1:18" ht="14.25" customHeight="1" x14ac:dyDescent="0.25">
      <c r="A14" s="56" t="s">
        <v>42</v>
      </c>
      <c r="B14" s="57"/>
      <c r="C14" s="57"/>
      <c r="D14" s="80">
        <v>158666757</v>
      </c>
      <c r="E14" s="81">
        <v>178751078</v>
      </c>
      <c r="F14" s="81">
        <v>42194737.149999999</v>
      </c>
      <c r="G14" s="81">
        <v>2243941.739997</v>
      </c>
      <c r="H14" s="81">
        <v>44438678.889996998</v>
      </c>
      <c r="I14" s="81">
        <v>134312399.11000299</v>
      </c>
      <c r="J14" s="81">
        <v>162696051.246584</v>
      </c>
      <c r="K14" s="82">
        <v>13811085.013419</v>
      </c>
    </row>
    <row r="15" spans="1:18" ht="14.25" customHeight="1" x14ac:dyDescent="0.25">
      <c r="A15" s="56" t="s">
        <v>43</v>
      </c>
      <c r="B15" s="56" t="s">
        <v>39</v>
      </c>
      <c r="C15" s="56" t="s">
        <v>40</v>
      </c>
      <c r="D15" s="80">
        <v>158666757</v>
      </c>
      <c r="E15" s="81">
        <v>159400593</v>
      </c>
      <c r="F15" s="81">
        <v>49326402.829999998</v>
      </c>
      <c r="G15" s="81">
        <v>0</v>
      </c>
      <c r="H15" s="81">
        <v>49326402.829999998</v>
      </c>
      <c r="I15" s="81">
        <v>-110074190.17</v>
      </c>
      <c r="J15" s="81">
        <v>160595000.03332099</v>
      </c>
      <c r="K15" s="82">
        <v>1194407.0333209999</v>
      </c>
    </row>
    <row r="16" spans="1:18" ht="14.25" customHeight="1" x14ac:dyDescent="0.25">
      <c r="A16" s="62"/>
      <c r="B16" s="56" t="s">
        <v>41</v>
      </c>
      <c r="C16" s="57"/>
      <c r="D16" s="80">
        <v>158666757</v>
      </c>
      <c r="E16" s="81">
        <v>159400593</v>
      </c>
      <c r="F16" s="81">
        <v>49326402.829999998</v>
      </c>
      <c r="G16" s="81">
        <v>0</v>
      </c>
      <c r="H16" s="81">
        <v>49326402.829999998</v>
      </c>
      <c r="I16" s="81">
        <v>-110074190.17</v>
      </c>
      <c r="J16" s="81">
        <v>160595000.03332099</v>
      </c>
      <c r="K16" s="82">
        <v>1194407.0333209999</v>
      </c>
    </row>
    <row r="17" spans="1:18" ht="14.25" customHeight="1" x14ac:dyDescent="0.25">
      <c r="A17" s="63" t="s">
        <v>44</v>
      </c>
      <c r="B17" s="64"/>
      <c r="C17" s="64"/>
      <c r="D17" s="83">
        <v>158666757</v>
      </c>
      <c r="E17" s="84">
        <v>159400593</v>
      </c>
      <c r="F17" s="84">
        <v>49326402.829999998</v>
      </c>
      <c r="G17" s="84">
        <v>0</v>
      </c>
      <c r="H17" s="84">
        <v>49326402.829999998</v>
      </c>
      <c r="I17" s="84">
        <v>-110074190.17</v>
      </c>
      <c r="J17" s="84">
        <v>160595000.03332099</v>
      </c>
      <c r="K17" s="85">
        <v>1194407.0333209999</v>
      </c>
    </row>
    <row r="18" spans="1:18" ht="14.25" customHeight="1" x14ac:dyDescent="0.25">
      <c r="M18" s="74" t="s">
        <v>45</v>
      </c>
      <c r="N18" s="75"/>
      <c r="O18" s="75"/>
      <c r="P18" s="75"/>
      <c r="Q18" s="75"/>
      <c r="R18" s="76"/>
    </row>
    <row r="19" spans="1:18" ht="14.25" customHeight="1" x14ac:dyDescent="0.25"/>
    <row r="20" spans="1:18" ht="14.25" customHeight="1" x14ac:dyDescent="0.25"/>
    <row r="21" spans="1:18" ht="14.25" customHeight="1" x14ac:dyDescent="0.25"/>
    <row r="22" spans="1:18" ht="14.25" customHeight="1" x14ac:dyDescent="0.25"/>
    <row r="23" spans="1:18" ht="14.25" customHeight="1" x14ac:dyDescent="0.25"/>
    <row r="24" spans="1:18" ht="14.25" customHeight="1" x14ac:dyDescent="0.25"/>
    <row r="25" spans="1:18" ht="14.25" customHeight="1" x14ac:dyDescent="0.25"/>
    <row r="26" spans="1:18" ht="14.25" customHeight="1" x14ac:dyDescent="0.25"/>
    <row r="27" spans="1:18" ht="14.25" customHeight="1" x14ac:dyDescent="0.25"/>
    <row r="28" spans="1:18" ht="14.25" customHeight="1" x14ac:dyDescent="0.25"/>
    <row r="29" spans="1:18" ht="14.25" customHeight="1" x14ac:dyDescent="0.25"/>
    <row r="30" spans="1:18" ht="14.25" customHeight="1" x14ac:dyDescent="0.25"/>
    <row r="31" spans="1:18" ht="14.25" customHeight="1" x14ac:dyDescent="0.25"/>
    <row r="32" spans="1:18"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2">
    <mergeCell ref="M3:R3"/>
    <mergeCell ref="M18:R18"/>
  </mergeCells>
  <pageMargins left="0.7" right="0.7" top="0.75" bottom="0.75" header="0" footer="0"/>
  <pageSetup orientation="portrait"/>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42" workbookViewId="0">
      <selection activeCell="B11" sqref="B11"/>
    </sheetView>
  </sheetViews>
  <sheetFormatPr defaultColWidth="14.42578125" defaultRowHeight="15" customHeight="1" x14ac:dyDescent="0.25"/>
  <cols>
    <col min="1" max="1" width="45.140625" customWidth="1"/>
    <col min="2" max="2" width="18" customWidth="1"/>
    <col min="3" max="3" width="2.140625" customWidth="1"/>
    <col min="4" max="4" width="18.140625" customWidth="1"/>
    <col min="5" max="5" width="2.28515625" customWidth="1"/>
    <col min="6" max="6" width="17.140625" customWidth="1"/>
    <col min="7" max="7" width="1.5703125" customWidth="1"/>
    <col min="8" max="10" width="15.85546875" customWidth="1"/>
    <col min="11" max="11" width="16.42578125" customWidth="1"/>
    <col min="12" max="14" width="15.85546875" customWidth="1"/>
    <col min="15" max="15" width="3" customWidth="1"/>
    <col min="16" max="16" width="14.140625" customWidth="1"/>
    <col min="17" max="17" width="13.85546875" customWidth="1"/>
    <col min="18" max="18" width="8.85546875" customWidth="1"/>
    <col min="19" max="26" width="8.7109375" customWidth="1"/>
  </cols>
  <sheetData>
    <row r="1" spans="1:26" ht="21" customHeight="1" x14ac:dyDescent="0.25">
      <c r="A1" s="77" t="s">
        <v>46</v>
      </c>
      <c r="B1" s="69"/>
      <c r="C1" s="69"/>
      <c r="D1" s="69"/>
      <c r="E1" s="69"/>
      <c r="F1" s="69"/>
      <c r="G1" s="24"/>
      <c r="H1" s="78" t="s">
        <v>47</v>
      </c>
      <c r="I1" s="69"/>
      <c r="J1" s="69"/>
      <c r="K1" s="69"/>
      <c r="L1" s="69"/>
      <c r="M1" s="69"/>
      <c r="N1" s="69"/>
      <c r="O1" s="2"/>
      <c r="P1" s="2"/>
      <c r="Q1" s="2"/>
      <c r="R1" s="2"/>
      <c r="S1" s="2"/>
      <c r="T1" s="2"/>
      <c r="U1" s="2"/>
      <c r="V1" s="2"/>
      <c r="W1" s="2"/>
      <c r="X1" s="2"/>
      <c r="Y1" s="2"/>
      <c r="Z1" s="2"/>
    </row>
    <row r="2" spans="1:26" ht="12.75" customHeight="1" x14ac:dyDescent="0.25">
      <c r="A2" s="25" t="s">
        <v>20</v>
      </c>
      <c r="B2" s="25" t="s">
        <v>21</v>
      </c>
      <c r="C2" s="2"/>
      <c r="D2" s="2"/>
      <c r="E2" s="2"/>
      <c r="F2" s="2"/>
      <c r="G2" s="24"/>
      <c r="H2" s="2"/>
      <c r="I2" s="2"/>
      <c r="J2" s="2"/>
      <c r="K2" s="2"/>
      <c r="L2" s="2"/>
      <c r="M2" s="2"/>
      <c r="N2" s="2"/>
      <c r="O2" s="2"/>
      <c r="P2" s="26"/>
      <c r="Q2" s="26"/>
      <c r="R2" s="2"/>
      <c r="S2" s="2"/>
      <c r="T2" s="2"/>
      <c r="U2" s="2"/>
      <c r="V2" s="2"/>
      <c r="W2" s="2"/>
      <c r="X2" s="2"/>
      <c r="Y2" s="2"/>
      <c r="Z2" s="2"/>
    </row>
    <row r="3" spans="1:26" ht="12.75" customHeight="1" x14ac:dyDescent="0.25">
      <c r="A3" s="25" t="s">
        <v>22</v>
      </c>
      <c r="B3" s="27">
        <v>45199</v>
      </c>
      <c r="C3" s="2"/>
      <c r="D3" s="2"/>
      <c r="E3" s="2"/>
      <c r="F3" s="2"/>
      <c r="G3" s="24"/>
      <c r="H3" s="2"/>
      <c r="I3" s="2"/>
      <c r="J3" s="2"/>
      <c r="K3" s="2"/>
      <c r="L3" s="2"/>
      <c r="M3" s="2"/>
      <c r="N3" s="2"/>
      <c r="O3" s="2"/>
      <c r="P3" s="28"/>
      <c r="Q3" s="2"/>
      <c r="R3" s="2"/>
      <c r="S3" s="2"/>
      <c r="T3" s="2"/>
      <c r="U3" s="2"/>
      <c r="V3" s="2"/>
      <c r="W3" s="2"/>
      <c r="X3" s="2"/>
      <c r="Y3" s="2"/>
      <c r="Z3" s="2"/>
    </row>
    <row r="4" spans="1:26" ht="12.75" customHeight="1" x14ac:dyDescent="0.25">
      <c r="A4" s="29" t="s">
        <v>48</v>
      </c>
      <c r="B4" s="29" t="s">
        <v>49</v>
      </c>
      <c r="C4" s="30"/>
      <c r="D4" s="31" t="s">
        <v>50</v>
      </c>
      <c r="E4" s="30"/>
      <c r="F4" s="29" t="s">
        <v>51</v>
      </c>
      <c r="G4" s="24"/>
      <c r="H4" s="31" t="s">
        <v>52</v>
      </c>
      <c r="I4" s="32" t="s">
        <v>53</v>
      </c>
      <c r="J4" s="31" t="s">
        <v>54</v>
      </c>
      <c r="K4" s="31" t="s">
        <v>55</v>
      </c>
      <c r="L4" s="31" t="s">
        <v>56</v>
      </c>
      <c r="M4" s="31" t="s">
        <v>57</v>
      </c>
      <c r="N4" s="31" t="s">
        <v>58</v>
      </c>
      <c r="O4" s="2"/>
      <c r="P4" s="2"/>
      <c r="Q4" s="2"/>
      <c r="R4" s="2"/>
      <c r="S4" s="2"/>
      <c r="T4" s="2"/>
      <c r="U4" s="2"/>
      <c r="V4" s="2"/>
      <c r="W4" s="2"/>
      <c r="X4" s="2"/>
      <c r="Y4" s="2"/>
      <c r="Z4" s="2"/>
    </row>
    <row r="5" spans="1:26" ht="12.75" customHeight="1" x14ac:dyDescent="0.25">
      <c r="A5" s="33" t="s">
        <v>39</v>
      </c>
      <c r="B5" s="34">
        <f>B6</f>
        <v>19350484.740000077</v>
      </c>
      <c r="C5" s="35"/>
      <c r="D5" s="34">
        <f>D6</f>
        <v>-4344993.213263005</v>
      </c>
      <c r="E5" s="35"/>
      <c r="F5" s="34">
        <f>F6</f>
        <v>15005491.526737072</v>
      </c>
      <c r="G5" s="24"/>
      <c r="H5" s="36">
        <v>56431</v>
      </c>
      <c r="I5" s="36">
        <v>-469</v>
      </c>
      <c r="J5" s="36">
        <v>9728643</v>
      </c>
      <c r="K5" s="36">
        <v>1898580</v>
      </c>
      <c r="L5" s="36">
        <v>1482219</v>
      </c>
      <c r="M5" s="36">
        <v>176364</v>
      </c>
      <c r="N5" s="36">
        <v>1663724</v>
      </c>
      <c r="O5" s="23" t="s">
        <v>59</v>
      </c>
      <c r="P5" s="26"/>
      <c r="Q5" s="2"/>
      <c r="R5" s="28"/>
      <c r="S5" s="2"/>
      <c r="T5" s="2"/>
      <c r="U5" s="2"/>
      <c r="V5" s="2"/>
      <c r="W5" s="2"/>
      <c r="X5" s="2"/>
      <c r="Y5" s="2"/>
      <c r="Z5" s="2"/>
    </row>
    <row r="6" spans="1:26" ht="12.75" customHeight="1" x14ac:dyDescent="0.25">
      <c r="A6" s="37" t="s">
        <v>40</v>
      </c>
      <c r="B6" s="38">
        <v>19350484.740000077</v>
      </c>
      <c r="C6" s="28"/>
      <c r="D6" s="38">
        <f>SUMIFS(Data!N:N,Data!A:A,Data!$A$4,Data!C:C,'Projected YE Balances'!A6)-SUMIFS(Data!N:N,Data!A:A,Data!$A$50,Data!C:C,'Projected YE Balances'!A6)-2243942</f>
        <v>-4344993.213263005</v>
      </c>
      <c r="E6" s="28"/>
      <c r="F6" s="38">
        <f>B6+D6</f>
        <v>15005491.526737072</v>
      </c>
      <c r="G6" s="24"/>
      <c r="H6" s="39"/>
      <c r="I6" s="39"/>
      <c r="J6" s="39"/>
      <c r="K6" s="39"/>
      <c r="L6" s="39"/>
      <c r="M6" s="39"/>
      <c r="N6" s="39"/>
      <c r="O6" s="2"/>
      <c r="P6" s="40"/>
      <c r="Q6" s="2"/>
      <c r="R6" s="2"/>
      <c r="S6" s="2"/>
      <c r="T6" s="2"/>
      <c r="U6" s="2"/>
      <c r="V6" s="2"/>
      <c r="W6" s="2"/>
      <c r="X6" s="2"/>
      <c r="Y6" s="2"/>
      <c r="Z6" s="2"/>
    </row>
    <row r="7" spans="1:26" ht="12.75" customHeight="1" x14ac:dyDescent="0.25">
      <c r="A7" s="33" t="s">
        <v>60</v>
      </c>
      <c r="B7" s="34">
        <f>SUM(B8:B26)</f>
        <v>2633198.6299999957</v>
      </c>
      <c r="C7" s="35"/>
      <c r="D7" s="34">
        <f>SUM(D8:D26)</f>
        <v>-912001.68331000023</v>
      </c>
      <c r="E7" s="35"/>
      <c r="F7" s="34">
        <f>SUM(F8:F26)</f>
        <v>1721196.9466899959</v>
      </c>
      <c r="G7" s="24"/>
      <c r="H7" s="39"/>
      <c r="I7" s="39"/>
      <c r="J7" s="39"/>
      <c r="K7" s="39"/>
      <c r="L7" s="39"/>
      <c r="M7" s="39"/>
      <c r="N7" s="39"/>
      <c r="O7" s="2"/>
      <c r="P7" s="26"/>
      <c r="Q7" s="2"/>
      <c r="R7" s="2"/>
      <c r="S7" s="2"/>
      <c r="T7" s="2"/>
      <c r="U7" s="2"/>
      <c r="V7" s="2"/>
      <c r="W7" s="2"/>
      <c r="X7" s="2"/>
      <c r="Y7" s="2"/>
      <c r="Z7" s="2"/>
    </row>
    <row r="8" spans="1:26" ht="12.75" customHeight="1" x14ac:dyDescent="0.25">
      <c r="A8" s="37" t="s">
        <v>61</v>
      </c>
      <c r="B8" s="38">
        <v>43962.250000000029</v>
      </c>
      <c r="C8" s="28"/>
      <c r="D8" s="38">
        <f>SUMIFS(Data!N:N,Data!A:A,Data!$A$4,Data!C:C,'Projected YE Balances'!A8)-SUMIFS(Data!N:N,Data!A:A,Data!$A$50,Data!C:C,'Projected YE Balances'!A8)</f>
        <v>61622.973335000002</v>
      </c>
      <c r="E8" s="28"/>
      <c r="F8" s="38">
        <f t="shared" ref="F8:F26" si="0">B8+D8</f>
        <v>105585.22333500003</v>
      </c>
      <c r="G8" s="24"/>
      <c r="H8" s="39"/>
      <c r="I8" s="39"/>
      <c r="J8" s="39"/>
      <c r="K8" s="39"/>
      <c r="L8" s="39"/>
      <c r="M8" s="39"/>
      <c r="N8" s="39"/>
      <c r="O8" s="2"/>
      <c r="P8" s="2"/>
      <c r="Q8" s="2"/>
      <c r="R8" s="2"/>
      <c r="S8" s="2"/>
      <c r="T8" s="2"/>
      <c r="U8" s="2"/>
      <c r="V8" s="2"/>
      <c r="W8" s="2"/>
      <c r="X8" s="2"/>
      <c r="Y8" s="2"/>
      <c r="Z8" s="2"/>
    </row>
    <row r="9" spans="1:26" ht="12.75" customHeight="1" x14ac:dyDescent="0.25">
      <c r="A9" s="37" t="s">
        <v>62</v>
      </c>
      <c r="B9" s="38">
        <v>31931.390000000003</v>
      </c>
      <c r="C9" s="28"/>
      <c r="D9" s="38">
        <f>SUMIFS(Data!N:N,Data!A:A,Data!$A$4,Data!C:C,'Projected YE Balances'!A9)-SUMIFS(Data!N:N,Data!A:A,Data!$A$50,Data!C:C,'Projected YE Balances'!A9)</f>
        <v>4412.34</v>
      </c>
      <c r="E9" s="28"/>
      <c r="F9" s="38">
        <f t="shared" si="0"/>
        <v>36343.730000000003</v>
      </c>
      <c r="G9" s="24"/>
      <c r="H9" s="39"/>
      <c r="I9" s="39"/>
      <c r="J9" s="39"/>
      <c r="K9" s="39"/>
      <c r="L9" s="39"/>
      <c r="M9" s="39"/>
      <c r="N9" s="39"/>
      <c r="O9" s="2"/>
      <c r="P9" s="2"/>
      <c r="Q9" s="2"/>
      <c r="R9" s="2"/>
      <c r="S9" s="2"/>
      <c r="T9" s="2"/>
      <c r="U9" s="2"/>
      <c r="V9" s="2"/>
      <c r="W9" s="2"/>
      <c r="X9" s="2"/>
      <c r="Y9" s="2"/>
      <c r="Z9" s="2"/>
    </row>
    <row r="10" spans="1:26" ht="12.75" customHeight="1" x14ac:dyDescent="0.25">
      <c r="A10" s="37" t="s">
        <v>63</v>
      </c>
      <c r="B10" s="38">
        <v>12212.93</v>
      </c>
      <c r="C10" s="28"/>
      <c r="D10" s="38">
        <f>SUMIFS(Data!N:N,Data!A:A,Data!$A$4,Data!C:C,'Projected YE Balances'!A10)-SUMIFS(Data!N:N,Data!A:A,Data!$A$50,Data!C:C,'Projected YE Balances'!A10)</f>
        <v>884.84666700000002</v>
      </c>
      <c r="E10" s="28"/>
      <c r="F10" s="38">
        <f t="shared" si="0"/>
        <v>13097.776667</v>
      </c>
      <c r="G10" s="24"/>
      <c r="H10" s="39"/>
      <c r="I10" s="39"/>
      <c r="J10" s="39"/>
      <c r="K10" s="39"/>
      <c r="L10" s="39"/>
      <c r="M10" s="39"/>
      <c r="N10" s="39"/>
      <c r="O10" s="2"/>
      <c r="P10" s="2"/>
      <c r="Q10" s="2"/>
      <c r="R10" s="2"/>
      <c r="S10" s="2"/>
      <c r="T10" s="2"/>
      <c r="U10" s="2"/>
      <c r="V10" s="2"/>
      <c r="W10" s="2"/>
      <c r="X10" s="2"/>
      <c r="Y10" s="2"/>
      <c r="Z10" s="2"/>
    </row>
    <row r="11" spans="1:26" ht="12.75" customHeight="1" x14ac:dyDescent="0.25">
      <c r="A11" s="37" t="s">
        <v>64</v>
      </c>
      <c r="B11" s="38">
        <v>7439.63</v>
      </c>
      <c r="C11" s="28"/>
      <c r="D11" s="38">
        <f>SUMIFS(Data!N:N,Data!A:A,Data!$A$4,Data!C:C,'Projected YE Balances'!A11)-SUMIFS(Data!N:N,Data!A:A,Data!$A$50,Data!C:C,'Projected YE Balances'!A11)</f>
        <v>559.67333500000007</v>
      </c>
      <c r="E11" s="28"/>
      <c r="F11" s="38">
        <f t="shared" si="0"/>
        <v>7999.3033350000005</v>
      </c>
      <c r="G11" s="24"/>
      <c r="H11" s="39"/>
      <c r="I11" s="39"/>
      <c r="J11" s="39"/>
      <c r="K11" s="39"/>
      <c r="L11" s="39"/>
      <c r="M11" s="39"/>
      <c r="N11" s="39"/>
      <c r="O11" s="2"/>
      <c r="P11" s="2"/>
      <c r="Q11" s="2"/>
      <c r="R11" s="2"/>
      <c r="S11" s="2"/>
      <c r="T11" s="2"/>
      <c r="U11" s="2"/>
      <c r="V11" s="2"/>
      <c r="W11" s="2"/>
      <c r="X11" s="2"/>
      <c r="Y11" s="2"/>
      <c r="Z11" s="2"/>
    </row>
    <row r="12" spans="1:26" ht="12.75" customHeight="1" x14ac:dyDescent="0.25">
      <c r="A12" s="37" t="s">
        <v>65</v>
      </c>
      <c r="B12" s="38">
        <v>17753.489999999998</v>
      </c>
      <c r="C12" s="28"/>
      <c r="D12" s="38">
        <f>SUMIFS(Data!N:N,Data!A:A,Data!$A$4,Data!C:C,'Projected YE Balances'!A12)-SUMIFS(Data!N:N,Data!A:A,Data!$A$50,Data!C:C,'Projected YE Balances'!A12)</f>
        <v>1895.2933330000001</v>
      </c>
      <c r="E12" s="28"/>
      <c r="F12" s="38">
        <f t="shared" si="0"/>
        <v>19648.783332999999</v>
      </c>
      <c r="G12" s="24"/>
      <c r="H12" s="39"/>
      <c r="I12" s="39"/>
      <c r="J12" s="39"/>
      <c r="K12" s="39"/>
      <c r="L12" s="39"/>
      <c r="M12" s="39"/>
      <c r="N12" s="39"/>
      <c r="O12" s="2"/>
      <c r="P12" s="2"/>
      <c r="Q12" s="2"/>
      <c r="R12" s="2"/>
      <c r="S12" s="2"/>
      <c r="T12" s="2"/>
      <c r="U12" s="2"/>
      <c r="V12" s="2"/>
      <c r="W12" s="2"/>
      <c r="X12" s="2"/>
      <c r="Y12" s="2"/>
      <c r="Z12" s="2"/>
    </row>
    <row r="13" spans="1:26" ht="12.75" customHeight="1" x14ac:dyDescent="0.25">
      <c r="A13" s="37" t="s">
        <v>66</v>
      </c>
      <c r="B13" s="38">
        <v>53602.140000000007</v>
      </c>
      <c r="C13" s="28"/>
      <c r="D13" s="38">
        <f>SUMIFS(Data!N:N,Data!A:A,Data!$A$4,Data!C:C,'Projected YE Balances'!A13)-SUMIFS(Data!N:N,Data!A:A,Data!$A$50,Data!C:C,'Projected YE Balances'!A13)</f>
        <v>9614.5</v>
      </c>
      <c r="E13" s="28"/>
      <c r="F13" s="38">
        <f t="shared" si="0"/>
        <v>63216.640000000007</v>
      </c>
      <c r="G13" s="24"/>
      <c r="H13" s="39"/>
      <c r="I13" s="39"/>
      <c r="J13" s="39"/>
      <c r="K13" s="39"/>
      <c r="L13" s="39"/>
      <c r="M13" s="39"/>
      <c r="N13" s="39"/>
      <c r="O13" s="2"/>
      <c r="P13" s="2"/>
      <c r="Q13" s="2"/>
      <c r="R13" s="2"/>
      <c r="S13" s="2"/>
      <c r="T13" s="2"/>
      <c r="U13" s="2"/>
      <c r="V13" s="2"/>
      <c r="W13" s="2"/>
      <c r="X13" s="2"/>
      <c r="Y13" s="2"/>
      <c r="Z13" s="2"/>
    </row>
    <row r="14" spans="1:26" ht="12.75" customHeight="1" x14ac:dyDescent="0.25">
      <c r="A14" s="37" t="s">
        <v>67</v>
      </c>
      <c r="B14" s="38">
        <v>13273.43</v>
      </c>
      <c r="C14" s="28"/>
      <c r="D14" s="38">
        <f>SUMIFS(Data!N:N,Data!A:A,Data!$A$4,Data!C:C,'Projected YE Balances'!A14)-SUMIFS(Data!N:N,Data!A:A,Data!$A$50,Data!C:C,'Projected YE Balances'!A14)</f>
        <v>462.5</v>
      </c>
      <c r="E14" s="28"/>
      <c r="F14" s="38">
        <f t="shared" si="0"/>
        <v>13735.93</v>
      </c>
      <c r="G14" s="24"/>
      <c r="H14" s="39"/>
      <c r="I14" s="39"/>
      <c r="J14" s="39"/>
      <c r="K14" s="39"/>
      <c r="L14" s="39"/>
      <c r="M14" s="39"/>
      <c r="N14" s="39"/>
      <c r="O14" s="2"/>
      <c r="P14" s="2"/>
      <c r="Q14" s="2"/>
      <c r="R14" s="2"/>
      <c r="S14" s="2"/>
      <c r="T14" s="2"/>
      <c r="U14" s="2"/>
      <c r="V14" s="2"/>
      <c r="W14" s="2"/>
      <c r="X14" s="2"/>
      <c r="Y14" s="2"/>
      <c r="Z14" s="2"/>
    </row>
    <row r="15" spans="1:26" ht="12.75" customHeight="1" x14ac:dyDescent="0.25">
      <c r="A15" s="37" t="s">
        <v>68</v>
      </c>
      <c r="B15" s="38">
        <v>10425.639999999998</v>
      </c>
      <c r="C15" s="28"/>
      <c r="D15" s="38">
        <f>SUMIFS(Data!N:N,Data!A:A,Data!$A$4,Data!C:C,'Projected YE Balances'!A15)-SUMIFS(Data!N:N,Data!A:A,Data!$A$50,Data!C:C,'Projected YE Balances'!A15)</f>
        <v>2195.8200000000002</v>
      </c>
      <c r="E15" s="28"/>
      <c r="F15" s="38">
        <f t="shared" si="0"/>
        <v>12621.459999999997</v>
      </c>
      <c r="G15" s="24"/>
      <c r="H15" s="39"/>
      <c r="I15" s="39"/>
      <c r="J15" s="39"/>
      <c r="K15" s="39"/>
      <c r="L15" s="39"/>
      <c r="M15" s="39"/>
      <c r="N15" s="39"/>
      <c r="O15" s="2"/>
      <c r="P15" s="2"/>
      <c r="Q15" s="2"/>
      <c r="R15" s="2"/>
      <c r="S15" s="2"/>
      <c r="T15" s="2"/>
      <c r="U15" s="2"/>
      <c r="V15" s="2"/>
      <c r="W15" s="2"/>
      <c r="X15" s="2"/>
      <c r="Y15" s="2"/>
      <c r="Z15" s="2"/>
    </row>
    <row r="16" spans="1:26" ht="12.75" customHeight="1" x14ac:dyDescent="0.25">
      <c r="A16" s="37" t="s">
        <v>69</v>
      </c>
      <c r="B16" s="38">
        <v>15879.779999999999</v>
      </c>
      <c r="C16" s="28"/>
      <c r="D16" s="38">
        <f>SUMIFS(Data!N:N,Data!A:A,Data!$A$4,Data!C:C,'Projected YE Balances'!A16)-SUMIFS(Data!N:N,Data!A:A,Data!$A$50,Data!C:C,'Projected YE Balances'!A16)</f>
        <v>2847.0066670000001</v>
      </c>
      <c r="E16" s="28"/>
      <c r="F16" s="38">
        <f t="shared" si="0"/>
        <v>18726.786667</v>
      </c>
      <c r="G16" s="24"/>
      <c r="H16" s="39"/>
      <c r="I16" s="39"/>
      <c r="J16" s="39"/>
      <c r="K16" s="39"/>
      <c r="L16" s="39"/>
      <c r="M16" s="39"/>
      <c r="N16" s="39"/>
      <c r="O16" s="2"/>
      <c r="P16" s="2"/>
      <c r="Q16" s="2"/>
      <c r="R16" s="2"/>
      <c r="S16" s="2"/>
      <c r="T16" s="2"/>
      <c r="U16" s="2"/>
      <c r="V16" s="2"/>
      <c r="W16" s="2"/>
      <c r="X16" s="2"/>
      <c r="Y16" s="2"/>
      <c r="Z16" s="2"/>
    </row>
    <row r="17" spans="1:26" ht="12.75" customHeight="1" x14ac:dyDescent="0.25">
      <c r="A17" s="37" t="s">
        <v>70</v>
      </c>
      <c r="B17" s="38">
        <v>15483.169999999998</v>
      </c>
      <c r="C17" s="28"/>
      <c r="D17" s="38">
        <f>SUMIFS(Data!N:N,Data!A:A,Data!$A$4,Data!C:C,'Projected YE Balances'!A17)-SUMIFS(Data!N:N,Data!A:A,Data!$A$50,Data!C:C,'Projected YE Balances'!A17)</f>
        <v>3837.483334</v>
      </c>
      <c r="E17" s="28"/>
      <c r="F17" s="38">
        <f t="shared" si="0"/>
        <v>19320.653333999999</v>
      </c>
      <c r="G17" s="24"/>
      <c r="H17" s="39"/>
      <c r="I17" s="39"/>
      <c r="J17" s="39"/>
      <c r="K17" s="39"/>
      <c r="L17" s="39"/>
      <c r="M17" s="39"/>
      <c r="N17" s="39"/>
      <c r="O17" s="2"/>
      <c r="P17" s="2"/>
      <c r="Q17" s="2"/>
      <c r="R17" s="2"/>
      <c r="S17" s="2"/>
      <c r="T17" s="2"/>
      <c r="U17" s="2"/>
      <c r="V17" s="2"/>
      <c r="W17" s="2"/>
      <c r="X17" s="2"/>
      <c r="Y17" s="2"/>
      <c r="Z17" s="2"/>
    </row>
    <row r="18" spans="1:26" ht="12.75" customHeight="1" x14ac:dyDescent="0.25">
      <c r="A18" s="37" t="s">
        <v>71</v>
      </c>
      <c r="B18" s="38">
        <v>51736.9</v>
      </c>
      <c r="C18" s="28"/>
      <c r="D18" s="38">
        <f>SUMIFS(Data!N:N,Data!A:A,Data!$A$4,Data!C:C,'Projected YE Balances'!A18)-SUMIFS(Data!N:N,Data!A:A,Data!$A$50,Data!C:C,'Projected YE Balances'!A18)</f>
        <v>9126.26</v>
      </c>
      <c r="E18" s="28"/>
      <c r="F18" s="38">
        <f t="shared" si="0"/>
        <v>60863.16</v>
      </c>
      <c r="G18" s="24"/>
      <c r="H18" s="39"/>
      <c r="I18" s="39"/>
      <c r="J18" s="39"/>
      <c r="K18" s="39"/>
      <c r="L18" s="39"/>
      <c r="M18" s="39"/>
      <c r="N18" s="39"/>
      <c r="O18" s="2"/>
      <c r="P18" s="2"/>
      <c r="Q18" s="2"/>
      <c r="R18" s="2"/>
      <c r="S18" s="2"/>
      <c r="T18" s="2"/>
      <c r="U18" s="2"/>
      <c r="V18" s="2"/>
      <c r="W18" s="2"/>
      <c r="X18" s="2"/>
      <c r="Y18" s="2"/>
      <c r="Z18" s="2"/>
    </row>
    <row r="19" spans="1:26" ht="12.75" customHeight="1" x14ac:dyDescent="0.25">
      <c r="A19" s="37" t="s">
        <v>72</v>
      </c>
      <c r="B19" s="38">
        <v>31138.739999999994</v>
      </c>
      <c r="C19" s="28"/>
      <c r="D19" s="38">
        <f>SUMIFS(Data!N:N,Data!A:A,Data!$A$4,Data!C:C,'Projected YE Balances'!A19)-SUMIFS(Data!N:N,Data!A:A,Data!$A$50,Data!C:C,'Projected YE Balances'!A19)</f>
        <v>6296.14</v>
      </c>
      <c r="E19" s="28"/>
      <c r="F19" s="38">
        <f t="shared" si="0"/>
        <v>37434.879999999997</v>
      </c>
      <c r="G19" s="24"/>
      <c r="H19" s="39"/>
      <c r="I19" s="39"/>
      <c r="J19" s="39"/>
      <c r="K19" s="39"/>
      <c r="L19" s="39"/>
      <c r="M19" s="39"/>
      <c r="N19" s="39"/>
      <c r="O19" s="2"/>
      <c r="P19" s="2"/>
      <c r="Q19" s="2"/>
      <c r="R19" s="2"/>
      <c r="S19" s="2"/>
      <c r="T19" s="2"/>
      <c r="U19" s="2"/>
      <c r="V19" s="2"/>
      <c r="W19" s="2"/>
      <c r="X19" s="2"/>
      <c r="Y19" s="2"/>
      <c r="Z19" s="2"/>
    </row>
    <row r="20" spans="1:26" ht="12.75" customHeight="1" x14ac:dyDescent="0.25">
      <c r="A20" s="37" t="s">
        <v>73</v>
      </c>
      <c r="B20" s="38">
        <v>67551.51999999999</v>
      </c>
      <c r="C20" s="28"/>
      <c r="D20" s="38">
        <f>SUMIFS(Data!N:N,Data!A:A,Data!$A$4,Data!C:C,'Projected YE Balances'!A20)-SUMIFS(Data!N:N,Data!A:A,Data!$A$50,Data!C:C,'Projected YE Balances'!A20)</f>
        <v>47205.55</v>
      </c>
      <c r="E20" s="28"/>
      <c r="F20" s="38">
        <f t="shared" si="0"/>
        <v>114757.06999999999</v>
      </c>
      <c r="G20" s="24"/>
      <c r="H20" s="39"/>
      <c r="I20" s="39"/>
      <c r="J20" s="39"/>
      <c r="K20" s="39"/>
      <c r="L20" s="39"/>
      <c r="M20" s="39"/>
      <c r="N20" s="39"/>
      <c r="O20" s="2"/>
      <c r="P20" s="2"/>
      <c r="Q20" s="2"/>
      <c r="R20" s="2"/>
      <c r="S20" s="2"/>
      <c r="T20" s="2"/>
      <c r="U20" s="2"/>
      <c r="V20" s="2"/>
      <c r="W20" s="2"/>
      <c r="X20" s="2"/>
      <c r="Y20" s="2"/>
      <c r="Z20" s="2"/>
    </row>
    <row r="21" spans="1:26" ht="12.75" customHeight="1" x14ac:dyDescent="0.25">
      <c r="A21" s="37" t="s">
        <v>74</v>
      </c>
      <c r="B21" s="38">
        <v>411448.58999999968</v>
      </c>
      <c r="C21" s="28"/>
      <c r="D21" s="38">
        <f>SUMIFS(Data!N:N,Data!A:A,Data!$A$4,Data!C:C,'Projected YE Balances'!A21)-SUMIFS(Data!N:N,Data!A:A,Data!$A$50,Data!C:C,'Projected YE Balances'!A21)</f>
        <v>-424183.15333200002</v>
      </c>
      <c r="E21" s="28"/>
      <c r="F21" s="38">
        <f t="shared" si="0"/>
        <v>-12734.56333200034</v>
      </c>
      <c r="G21" s="24"/>
      <c r="H21" s="39"/>
      <c r="I21" s="39"/>
      <c r="J21" s="39"/>
      <c r="K21" s="39"/>
      <c r="L21" s="39"/>
      <c r="M21" s="39"/>
      <c r="N21" s="39"/>
      <c r="O21" s="2"/>
      <c r="P21" s="2"/>
      <c r="Q21" s="2"/>
      <c r="R21" s="2"/>
      <c r="S21" s="2"/>
      <c r="T21" s="2"/>
      <c r="U21" s="2"/>
      <c r="V21" s="2"/>
      <c r="W21" s="2"/>
      <c r="X21" s="2"/>
      <c r="Y21" s="2"/>
      <c r="Z21" s="2"/>
    </row>
    <row r="22" spans="1:26" ht="12.75" customHeight="1" x14ac:dyDescent="0.25">
      <c r="A22" s="37" t="s">
        <v>75</v>
      </c>
      <c r="B22" s="38">
        <v>106247.95000000006</v>
      </c>
      <c r="C22" s="28"/>
      <c r="D22" s="38">
        <f>SUMIFS(Data!N:N,Data!A:A,Data!$A$4,Data!C:C,'Projected YE Balances'!A22)-SUMIFS(Data!N:N,Data!A:A,Data!$A$50,Data!C:C,'Projected YE Balances'!A22)</f>
        <v>42081.273334000012</v>
      </c>
      <c r="E22" s="28"/>
      <c r="F22" s="38">
        <f t="shared" si="0"/>
        <v>148329.22333400007</v>
      </c>
      <c r="G22" s="24"/>
      <c r="H22" s="39"/>
      <c r="I22" s="39"/>
      <c r="J22" s="39"/>
      <c r="K22" s="39"/>
      <c r="L22" s="39"/>
      <c r="M22" s="39"/>
      <c r="N22" s="39"/>
      <c r="O22" s="2"/>
      <c r="P22" s="2"/>
      <c r="Q22" s="2"/>
      <c r="R22" s="2"/>
      <c r="S22" s="2"/>
      <c r="T22" s="2"/>
      <c r="U22" s="2"/>
      <c r="V22" s="2"/>
      <c r="W22" s="2"/>
      <c r="X22" s="2"/>
      <c r="Y22" s="2"/>
      <c r="Z22" s="2"/>
    </row>
    <row r="23" spans="1:26" ht="12.75" customHeight="1" x14ac:dyDescent="0.25">
      <c r="A23" s="37" t="s">
        <v>76</v>
      </c>
      <c r="B23" s="38">
        <v>806486.99999999651</v>
      </c>
      <c r="C23" s="28"/>
      <c r="D23" s="38">
        <f>SUMIFS(Data!N:N,Data!A:A,Data!$A$4,Data!C:C,'Projected YE Balances'!A23)-SUMIFS(Data!N:N,Data!A:A,Data!$A$50,Data!C:C,'Projected YE Balances'!A23)</f>
        <v>-744433.35665100021</v>
      </c>
      <c r="E23" s="28"/>
      <c r="F23" s="38">
        <f t="shared" si="0"/>
        <v>62053.643348996295</v>
      </c>
      <c r="G23" s="24"/>
      <c r="H23" s="39"/>
      <c r="I23" s="39"/>
      <c r="J23" s="39"/>
      <c r="K23" s="39"/>
      <c r="L23" s="39"/>
      <c r="M23" s="39"/>
      <c r="N23" s="39"/>
      <c r="O23" s="2"/>
      <c r="P23" s="2"/>
      <c r="Q23" s="2"/>
      <c r="R23" s="2"/>
      <c r="S23" s="2"/>
      <c r="T23" s="2"/>
      <c r="U23" s="2"/>
      <c r="V23" s="2"/>
      <c r="W23" s="2"/>
      <c r="X23" s="2"/>
      <c r="Y23" s="2"/>
      <c r="Z23" s="2"/>
    </row>
    <row r="24" spans="1:26" ht="12.75" customHeight="1" x14ac:dyDescent="0.25">
      <c r="A24" s="37" t="s">
        <v>77</v>
      </c>
      <c r="B24" s="38">
        <v>662104.85999999987</v>
      </c>
      <c r="C24" s="28"/>
      <c r="D24" s="38">
        <f>SUMIFS(Data!N:N,Data!A:A,Data!$A$4,Data!C:C,'Projected YE Balances'!A24)-SUMIFS(Data!N:N,Data!A:A,Data!$A$50,Data!C:C,'Projected YE Balances'!A24)</f>
        <v>60566.433334000001</v>
      </c>
      <c r="E24" s="28"/>
      <c r="F24" s="38">
        <f t="shared" si="0"/>
        <v>722671.29333399981</v>
      </c>
      <c r="G24" s="24"/>
      <c r="H24" s="39"/>
      <c r="I24" s="39"/>
      <c r="J24" s="39"/>
      <c r="K24" s="39"/>
      <c r="L24" s="39"/>
      <c r="M24" s="39"/>
      <c r="N24" s="39"/>
      <c r="O24" s="2"/>
      <c r="P24" s="2"/>
      <c r="Q24" s="2"/>
      <c r="R24" s="2"/>
      <c r="S24" s="2"/>
      <c r="T24" s="2"/>
      <c r="U24" s="2"/>
      <c r="V24" s="2"/>
      <c r="W24" s="2"/>
      <c r="X24" s="2"/>
      <c r="Y24" s="2"/>
      <c r="Z24" s="2"/>
    </row>
    <row r="25" spans="1:26" ht="12.75" customHeight="1" x14ac:dyDescent="0.25">
      <c r="A25" s="37" t="s">
        <v>78</v>
      </c>
      <c r="B25" s="38">
        <v>15453.63</v>
      </c>
      <c r="C25" s="28"/>
      <c r="D25" s="38">
        <f>SUMIFS(Data!N:N,Data!A:A,Data!$A$4,Data!C:C,'Projected YE Balances'!A25)-SUMIFS(Data!N:N,Data!A:A,Data!$A$50,Data!C:C,'Projected YE Balances'!A25)</f>
        <v>3006.733334</v>
      </c>
      <c r="E25" s="28"/>
      <c r="F25" s="38">
        <f t="shared" si="0"/>
        <v>18460.363333999998</v>
      </c>
      <c r="G25" s="24"/>
      <c r="H25" s="39"/>
      <c r="I25" s="39"/>
      <c r="J25" s="39"/>
      <c r="K25" s="39"/>
      <c r="L25" s="39"/>
      <c r="M25" s="39"/>
      <c r="N25" s="39"/>
      <c r="O25" s="2"/>
      <c r="P25" s="2"/>
      <c r="Q25" s="2"/>
      <c r="R25" s="2"/>
      <c r="S25" s="2"/>
      <c r="T25" s="2"/>
      <c r="U25" s="2"/>
      <c r="V25" s="2"/>
      <c r="W25" s="2"/>
      <c r="X25" s="2"/>
      <c r="Y25" s="2"/>
      <c r="Z25" s="2"/>
    </row>
    <row r="26" spans="1:26" ht="12.75" customHeight="1" x14ac:dyDescent="0.25">
      <c r="A26" s="37" t="s">
        <v>79</v>
      </c>
      <c r="B26" s="38">
        <v>259065.58999999997</v>
      </c>
      <c r="C26" s="28"/>
      <c r="D26" s="38">
        <f>SUMIFS(Data!N:N,Data!A:A,Data!$A$4,Data!C:C,'Projected YE Balances'!A26)-SUMIFS(Data!N:N,Data!A:A,Data!$A$50,Data!C:C,'Projected YE Balances'!A26)</f>
        <v>0</v>
      </c>
      <c r="E26" s="28"/>
      <c r="F26" s="38">
        <f t="shared" si="0"/>
        <v>259065.58999999997</v>
      </c>
      <c r="G26" s="24"/>
      <c r="H26" s="39"/>
      <c r="I26" s="39"/>
      <c r="J26" s="39"/>
      <c r="K26" s="39"/>
      <c r="L26" s="39"/>
      <c r="M26" s="39"/>
      <c r="N26" s="39"/>
      <c r="O26" s="2"/>
      <c r="P26" s="2"/>
      <c r="Q26" s="2"/>
      <c r="R26" s="2"/>
      <c r="S26" s="2"/>
      <c r="T26" s="2"/>
      <c r="U26" s="2"/>
      <c r="V26" s="2"/>
      <c r="W26" s="2"/>
      <c r="X26" s="2"/>
      <c r="Y26" s="2"/>
      <c r="Z26" s="2"/>
    </row>
    <row r="27" spans="1:26" ht="12.75" customHeight="1" x14ac:dyDescent="0.25">
      <c r="A27" s="33" t="s">
        <v>80</v>
      </c>
      <c r="B27" s="34">
        <f>SUM(B28:B29)</f>
        <v>-268893.18000000011</v>
      </c>
      <c r="C27" s="35"/>
      <c r="D27" s="34">
        <f>SUM(D28:D29)</f>
        <v>-436799.79999899998</v>
      </c>
      <c r="E27" s="35"/>
      <c r="F27" s="34">
        <f>SUM(F28:F29)</f>
        <v>-705692.97999900009</v>
      </c>
      <c r="G27" s="24"/>
      <c r="H27" s="39"/>
      <c r="I27" s="39"/>
      <c r="J27" s="39"/>
      <c r="K27" s="39"/>
      <c r="L27" s="38">
        <f>F27</f>
        <v>-705692.97999900009</v>
      </c>
      <c r="M27" s="39"/>
      <c r="N27" s="39"/>
      <c r="O27" s="2"/>
      <c r="P27" s="2"/>
      <c r="Q27" s="2"/>
      <c r="R27" s="2"/>
      <c r="S27" s="2"/>
      <c r="T27" s="2"/>
      <c r="U27" s="2"/>
      <c r="V27" s="2"/>
      <c r="W27" s="2"/>
      <c r="X27" s="2"/>
      <c r="Y27" s="2"/>
      <c r="Z27" s="2"/>
    </row>
    <row r="28" spans="1:26" ht="12.75" customHeight="1" x14ac:dyDescent="0.25">
      <c r="A28" s="37" t="s">
        <v>81</v>
      </c>
      <c r="B28" s="38">
        <v>-170155.4800000001</v>
      </c>
      <c r="C28" s="28"/>
      <c r="D28" s="38">
        <f>SUMIFS(Data!N:N,Data!A:A,Data!$A$4,Data!C:C,'Projected YE Balances'!A28)-SUMIFS(Data!N:N,Data!A:A,Data!$A$50,Data!C:C,'Projected YE Balances'!A28)</f>
        <v>-170302.31333199999</v>
      </c>
      <c r="E28" s="28"/>
      <c r="F28" s="38">
        <f t="shared" ref="F28:F29" si="1">B28+D28</f>
        <v>-340457.79333200009</v>
      </c>
      <c r="G28" s="24"/>
      <c r="H28" s="39"/>
      <c r="I28" s="39"/>
      <c r="J28" s="39"/>
      <c r="K28" s="39"/>
      <c r="L28" s="39"/>
      <c r="M28" s="39"/>
      <c r="N28" s="39"/>
      <c r="O28" s="2"/>
      <c r="P28" s="2"/>
      <c r="Q28" s="2"/>
      <c r="R28" s="2"/>
      <c r="S28" s="2"/>
      <c r="T28" s="2"/>
      <c r="U28" s="2"/>
      <c r="V28" s="2"/>
      <c r="W28" s="2"/>
      <c r="X28" s="2"/>
      <c r="Y28" s="2"/>
      <c r="Z28" s="2"/>
    </row>
    <row r="29" spans="1:26" ht="12.75" customHeight="1" x14ac:dyDescent="0.25">
      <c r="A29" s="37" t="s">
        <v>82</v>
      </c>
      <c r="B29" s="38">
        <v>-98737.700000000012</v>
      </c>
      <c r="C29" s="28"/>
      <c r="D29" s="38">
        <f>SUMIFS(Data!N:N,Data!A:A,Data!$A$4,Data!C:C,'Projected YE Balances'!A29)-SUMIFS(Data!N:N,Data!A:A,Data!$A$50,Data!C:C,'Projected YE Balances'!A29)</f>
        <v>-266497.48666699999</v>
      </c>
      <c r="E29" s="28"/>
      <c r="F29" s="38">
        <f t="shared" si="1"/>
        <v>-365235.186667</v>
      </c>
      <c r="G29" s="24"/>
      <c r="H29" s="39"/>
      <c r="I29" s="39"/>
      <c r="J29" s="39"/>
      <c r="K29" s="39"/>
      <c r="L29" s="39"/>
      <c r="M29" s="39"/>
      <c r="N29" s="39"/>
      <c r="O29" s="2"/>
      <c r="P29" s="2"/>
      <c r="Q29" s="2"/>
      <c r="R29" s="2"/>
      <c r="S29" s="2"/>
      <c r="T29" s="2"/>
      <c r="U29" s="2"/>
      <c r="V29" s="2"/>
      <c r="W29" s="2"/>
      <c r="X29" s="2"/>
      <c r="Y29" s="2"/>
      <c r="Z29" s="2"/>
    </row>
    <row r="30" spans="1:26" ht="12.75" customHeight="1" x14ac:dyDescent="0.25">
      <c r="A30" s="33" t="s">
        <v>83</v>
      </c>
      <c r="B30" s="34">
        <f>SUM(B31:B38)</f>
        <v>3207064.5799999987</v>
      </c>
      <c r="C30" s="35"/>
      <c r="D30" s="34">
        <f>SUM(D31:D38)</f>
        <v>157477.48666599975</v>
      </c>
      <c r="E30" s="35"/>
      <c r="F30" s="34">
        <f>SUM(F31:F38)</f>
        <v>3364542.0666659987</v>
      </c>
      <c r="G30" s="24"/>
      <c r="H30" s="39"/>
      <c r="I30" s="39"/>
      <c r="J30" s="38">
        <f>F30</f>
        <v>3364542.0666659987</v>
      </c>
      <c r="K30" s="39"/>
      <c r="L30" s="39"/>
      <c r="M30" s="39"/>
      <c r="N30" s="39"/>
      <c r="O30" s="2"/>
      <c r="P30" s="2"/>
      <c r="Q30" s="2"/>
      <c r="R30" s="2"/>
      <c r="S30" s="2"/>
      <c r="T30" s="2"/>
      <c r="U30" s="2"/>
      <c r="V30" s="2"/>
      <c r="W30" s="2"/>
      <c r="X30" s="2"/>
      <c r="Y30" s="2"/>
      <c r="Z30" s="2"/>
    </row>
    <row r="31" spans="1:26" ht="12.75" customHeight="1" x14ac:dyDescent="0.25">
      <c r="A31" s="37" t="s">
        <v>84</v>
      </c>
      <c r="B31" s="38">
        <v>1900512.0699999994</v>
      </c>
      <c r="C31" s="28"/>
      <c r="D31" s="38">
        <f>SUMIFS(Data!N:N,Data!A:A,Data!$A$4,Data!C:C,'Projected YE Balances'!A31)-SUMIFS(Data!N:N,Data!A:A,Data!$A$50,Data!C:C,'Projected YE Balances'!A31)</f>
        <v>-175735.85000200011</v>
      </c>
      <c r="E31" s="28"/>
      <c r="F31" s="38">
        <f t="shared" ref="F31:F38" si="2">B31+D31</f>
        <v>1724776.2199979993</v>
      </c>
      <c r="G31" s="24"/>
      <c r="H31" s="39"/>
      <c r="I31" s="39"/>
      <c r="J31" s="39"/>
      <c r="K31" s="39"/>
      <c r="L31" s="39"/>
      <c r="M31" s="39"/>
      <c r="N31" s="39"/>
      <c r="O31" s="2"/>
      <c r="P31" s="2"/>
      <c r="Q31" s="2"/>
      <c r="R31" s="2"/>
      <c r="S31" s="2"/>
      <c r="T31" s="2"/>
      <c r="U31" s="2"/>
      <c r="V31" s="2"/>
      <c r="W31" s="2"/>
      <c r="X31" s="2"/>
      <c r="Y31" s="2"/>
      <c r="Z31" s="2"/>
    </row>
    <row r="32" spans="1:26" ht="12.75" customHeight="1" x14ac:dyDescent="0.25">
      <c r="A32" s="37" t="s">
        <v>85</v>
      </c>
      <c r="B32" s="38">
        <v>63879.08</v>
      </c>
      <c r="C32" s="28"/>
      <c r="D32" s="38">
        <f>SUMIFS(Data!N:N,Data!A:A,Data!$A$4,Data!C:C,'Projected YE Balances'!A32)-SUMIFS(Data!N:N,Data!A:A,Data!$A$50,Data!C:C,'Projected YE Balances'!A32)</f>
        <v>0</v>
      </c>
      <c r="E32" s="28"/>
      <c r="F32" s="38">
        <f t="shared" si="2"/>
        <v>63879.08</v>
      </c>
      <c r="G32" s="24"/>
      <c r="H32" s="39"/>
      <c r="I32" s="39"/>
      <c r="J32" s="39"/>
      <c r="K32" s="39"/>
      <c r="L32" s="39"/>
      <c r="M32" s="39"/>
      <c r="N32" s="39"/>
      <c r="O32" s="2"/>
      <c r="P32" s="2"/>
      <c r="Q32" s="2"/>
      <c r="R32" s="2"/>
      <c r="S32" s="2"/>
      <c r="T32" s="2"/>
      <c r="U32" s="2"/>
      <c r="V32" s="2"/>
      <c r="W32" s="2"/>
      <c r="X32" s="2"/>
      <c r="Y32" s="2"/>
      <c r="Z32" s="2"/>
    </row>
    <row r="33" spans="1:26" ht="12.75" customHeight="1" x14ac:dyDescent="0.25">
      <c r="A33" s="37" t="s">
        <v>86</v>
      </c>
      <c r="B33" s="38">
        <v>0</v>
      </c>
      <c r="C33" s="28"/>
      <c r="D33" s="38">
        <f>SUMIFS(Data!N:N,Data!A:A,Data!$A$4,Data!C:C,'Projected YE Balances'!A33)-SUMIFS(Data!N:N,Data!A:A,Data!$A$50,Data!C:C,'Projected YE Balances'!A33)</f>
        <v>7528</v>
      </c>
      <c r="E33" s="28"/>
      <c r="F33" s="38">
        <f t="shared" si="2"/>
        <v>7528</v>
      </c>
      <c r="G33" s="24"/>
      <c r="H33" s="39"/>
      <c r="I33" s="39"/>
      <c r="J33" s="39"/>
      <c r="K33" s="39"/>
      <c r="L33" s="39"/>
      <c r="M33" s="39"/>
      <c r="N33" s="39"/>
      <c r="O33" s="2"/>
      <c r="P33" s="2"/>
      <c r="Q33" s="2"/>
      <c r="R33" s="2"/>
      <c r="S33" s="2"/>
      <c r="T33" s="2"/>
      <c r="U33" s="2"/>
      <c r="V33" s="2"/>
      <c r="W33" s="2"/>
      <c r="X33" s="2"/>
      <c r="Y33" s="2"/>
      <c r="Z33" s="2"/>
    </row>
    <row r="34" spans="1:26" ht="12.75" customHeight="1" x14ac:dyDescent="0.25">
      <c r="A34" s="37" t="s">
        <v>87</v>
      </c>
      <c r="B34" s="38">
        <v>428976.10999999952</v>
      </c>
      <c r="C34" s="28"/>
      <c r="D34" s="38">
        <f>SUMIFS(Data!N:N,Data!A:A,Data!$A$4,Data!C:C,'Projected YE Balances'!A34)-SUMIFS(Data!N:N,Data!A:A,Data!$A$50,Data!C:C,'Projected YE Balances'!A34)</f>
        <v>17196.643332999898</v>
      </c>
      <c r="E34" s="28"/>
      <c r="F34" s="38">
        <f t="shared" si="2"/>
        <v>446172.75333299942</v>
      </c>
      <c r="G34" s="24"/>
      <c r="H34" s="39"/>
      <c r="I34" s="39"/>
      <c r="J34" s="39"/>
      <c r="K34" s="39"/>
      <c r="L34" s="39"/>
      <c r="M34" s="39"/>
      <c r="N34" s="39"/>
      <c r="O34" s="2"/>
      <c r="P34" s="2"/>
      <c r="Q34" s="2"/>
      <c r="R34" s="2"/>
      <c r="S34" s="2"/>
      <c r="T34" s="2"/>
      <c r="U34" s="2"/>
      <c r="V34" s="2"/>
      <c r="W34" s="2"/>
      <c r="X34" s="2"/>
      <c r="Y34" s="2"/>
      <c r="Z34" s="2"/>
    </row>
    <row r="35" spans="1:26" ht="12.75" customHeight="1" x14ac:dyDescent="0.25">
      <c r="A35" s="37" t="s">
        <v>88</v>
      </c>
      <c r="B35" s="38">
        <v>0</v>
      </c>
      <c r="C35" s="28"/>
      <c r="D35" s="38">
        <f>SUMIFS(Data!N:N,Data!A:A,Data!$A$4,Data!C:C,'Projected YE Balances'!A35)-SUMIFS(Data!N:N,Data!A:A,Data!$A$50,Data!C:C,'Projected YE Balances'!A35)</f>
        <v>-6662</v>
      </c>
      <c r="E35" s="28"/>
      <c r="F35" s="38">
        <f t="shared" si="2"/>
        <v>-6662</v>
      </c>
      <c r="G35" s="24"/>
      <c r="H35" s="39"/>
      <c r="I35" s="39"/>
      <c r="J35" s="39"/>
      <c r="K35" s="39"/>
      <c r="L35" s="39"/>
      <c r="M35" s="39"/>
      <c r="N35" s="39"/>
      <c r="O35" s="2"/>
      <c r="P35" s="2"/>
      <c r="Q35" s="2"/>
      <c r="R35" s="2"/>
      <c r="S35" s="2"/>
      <c r="T35" s="2"/>
      <c r="U35" s="2"/>
      <c r="V35" s="2"/>
      <c r="W35" s="2"/>
      <c r="X35" s="2"/>
      <c r="Y35" s="2"/>
      <c r="Z35" s="2"/>
    </row>
    <row r="36" spans="1:26" ht="12.75" customHeight="1" x14ac:dyDescent="0.25">
      <c r="A36" s="37" t="s">
        <v>89</v>
      </c>
      <c r="B36" s="38">
        <v>89301.28999999979</v>
      </c>
      <c r="C36" s="28"/>
      <c r="D36" s="38">
        <f>SUMIFS(Data!N:N,Data!A:A,Data!$A$4,Data!C:C,'Projected YE Balances'!A36)-SUMIFS(Data!N:N,Data!A:A,Data!$A$50,Data!C:C,'Projected YE Balances'!A36)</f>
        <v>168951.91000099998</v>
      </c>
      <c r="E36" s="28"/>
      <c r="F36" s="38">
        <f t="shared" si="2"/>
        <v>258253.20000099979</v>
      </c>
      <c r="G36" s="24"/>
      <c r="H36" s="39"/>
      <c r="I36" s="39"/>
      <c r="J36" s="39"/>
      <c r="K36" s="39"/>
      <c r="L36" s="39"/>
      <c r="M36" s="39"/>
      <c r="N36" s="39"/>
      <c r="O36" s="2"/>
      <c r="P36" s="2"/>
      <c r="Q36" s="2"/>
      <c r="R36" s="2"/>
      <c r="S36" s="2"/>
      <c r="T36" s="2"/>
      <c r="U36" s="2"/>
      <c r="V36" s="2"/>
      <c r="W36" s="2"/>
      <c r="X36" s="2"/>
      <c r="Y36" s="2"/>
      <c r="Z36" s="2"/>
    </row>
    <row r="37" spans="1:26" ht="12.75" customHeight="1" x14ac:dyDescent="0.25">
      <c r="A37" s="37" t="s">
        <v>90</v>
      </c>
      <c r="B37" s="38">
        <v>2740.9699999999966</v>
      </c>
      <c r="C37" s="28"/>
      <c r="D37" s="38">
        <f>SUMIFS(Data!N:N,Data!A:A,Data!$A$4,Data!C:C,'Projected YE Balances'!A37)-SUMIFS(Data!N:N,Data!A:A,Data!$A$50,Data!C:C,'Projected YE Balances'!A37)</f>
        <v>-20487.196666999997</v>
      </c>
      <c r="E37" s="28"/>
      <c r="F37" s="38">
        <f t="shared" si="2"/>
        <v>-17746.226666999999</v>
      </c>
      <c r="G37" s="24"/>
      <c r="H37" s="39"/>
      <c r="I37" s="39"/>
      <c r="J37" s="39"/>
      <c r="K37" s="39"/>
      <c r="L37" s="39"/>
      <c r="M37" s="39"/>
      <c r="N37" s="39"/>
      <c r="O37" s="2"/>
      <c r="P37" s="2"/>
      <c r="Q37" s="2"/>
      <c r="R37" s="2"/>
      <c r="S37" s="2"/>
      <c r="T37" s="2"/>
      <c r="U37" s="2"/>
      <c r="V37" s="2"/>
      <c r="W37" s="2"/>
      <c r="X37" s="2"/>
      <c r="Y37" s="2"/>
      <c r="Z37" s="2"/>
    </row>
    <row r="38" spans="1:26" ht="12.75" customHeight="1" x14ac:dyDescent="0.25">
      <c r="A38" s="37" t="s">
        <v>91</v>
      </c>
      <c r="B38" s="38">
        <v>721655.06</v>
      </c>
      <c r="C38" s="28"/>
      <c r="D38" s="38">
        <f>SUMIFS(Data!N:N,Data!A:A,Data!$A$4,Data!C:C,'Projected YE Balances'!A38)-SUMIFS(Data!N:N,Data!A:A,Data!$A$50,Data!C:C,'Projected YE Balances'!A38)</f>
        <v>166685.98000099999</v>
      </c>
      <c r="E38" s="28"/>
      <c r="F38" s="38">
        <f t="shared" si="2"/>
        <v>888341.04000100004</v>
      </c>
      <c r="G38" s="24"/>
      <c r="H38" s="39"/>
      <c r="I38" s="39"/>
      <c r="J38" s="39"/>
      <c r="K38" s="39"/>
      <c r="L38" s="39"/>
      <c r="M38" s="39"/>
      <c r="N38" s="39"/>
      <c r="O38" s="2"/>
      <c r="P38" s="2"/>
      <c r="Q38" s="2"/>
      <c r="R38" s="2"/>
      <c r="S38" s="2"/>
      <c r="T38" s="2"/>
      <c r="U38" s="2"/>
      <c r="V38" s="2"/>
      <c r="W38" s="2"/>
      <c r="X38" s="2"/>
      <c r="Y38" s="2"/>
      <c r="Z38" s="2"/>
    </row>
    <row r="39" spans="1:26" ht="12.75" customHeight="1" x14ac:dyDescent="0.25">
      <c r="A39" s="33" t="s">
        <v>15</v>
      </c>
      <c r="B39" s="34">
        <f>SUM(B40:B42)</f>
        <v>104642.07000000004</v>
      </c>
      <c r="C39" s="35"/>
      <c r="D39" s="34">
        <f>SUM(D40:D42)</f>
        <v>95786.443336999888</v>
      </c>
      <c r="E39" s="35"/>
      <c r="F39" s="34">
        <f>SUM(F40:F42)</f>
        <v>200428.51333699992</v>
      </c>
      <c r="G39" s="24"/>
      <c r="H39" s="39"/>
      <c r="I39" s="39"/>
      <c r="J39" s="39"/>
      <c r="K39" s="39"/>
      <c r="L39" s="38">
        <f>F39</f>
        <v>200428.51333699992</v>
      </c>
      <c r="M39" s="39"/>
      <c r="N39" s="39"/>
      <c r="O39" s="2"/>
      <c r="P39" s="2"/>
      <c r="Q39" s="2"/>
      <c r="R39" s="2"/>
      <c r="S39" s="2"/>
      <c r="T39" s="2"/>
      <c r="U39" s="2"/>
      <c r="V39" s="2"/>
      <c r="W39" s="2"/>
      <c r="X39" s="2"/>
      <c r="Y39" s="2"/>
      <c r="Z39" s="2"/>
    </row>
    <row r="40" spans="1:26" ht="12.75" customHeight="1" x14ac:dyDescent="0.25">
      <c r="A40" s="37" t="s">
        <v>92</v>
      </c>
      <c r="B40" s="38">
        <v>-57677.969999999972</v>
      </c>
      <c r="C40" s="28"/>
      <c r="D40" s="38">
        <f>SUMIFS(Data!N:N,Data!A:A,Data!$A$4,Data!C:C,'Projected YE Balances'!A40)-SUMIFS(Data!N:N,Data!A:A,Data!$A$50,Data!C:C,'Projected YE Balances'!A40)</f>
        <v>79312.983335999888</v>
      </c>
      <c r="E40" s="28"/>
      <c r="F40" s="38">
        <f t="shared" ref="F40:F42" si="3">B40+D40</f>
        <v>21635.013335999916</v>
      </c>
      <c r="G40" s="24"/>
      <c r="H40" s="39"/>
      <c r="I40" s="39"/>
      <c r="J40" s="39"/>
      <c r="K40" s="39"/>
      <c r="L40" s="39"/>
      <c r="M40" s="39"/>
      <c r="N40" s="39"/>
      <c r="O40" s="2"/>
      <c r="P40" s="2"/>
      <c r="Q40" s="2"/>
      <c r="R40" s="2"/>
      <c r="S40" s="2"/>
      <c r="T40" s="2"/>
      <c r="U40" s="2"/>
      <c r="V40" s="2"/>
      <c r="W40" s="2"/>
      <c r="X40" s="2"/>
      <c r="Y40" s="2"/>
      <c r="Z40" s="2"/>
    </row>
    <row r="41" spans="1:26" ht="12.75" customHeight="1" x14ac:dyDescent="0.25">
      <c r="A41" s="37" t="s">
        <v>93</v>
      </c>
      <c r="B41" s="38">
        <v>472.1000000000131</v>
      </c>
      <c r="C41" s="28"/>
      <c r="D41" s="38">
        <f>SUMIFS(Data!N:N,Data!A:A,Data!$A$4,Data!C:C,'Projected YE Balances'!A41)-SUMIFS(Data!N:N,Data!A:A,Data!$A$50,Data!C:C,'Projected YE Balances'!A41)</f>
        <v>6592.643333999993</v>
      </c>
      <c r="E41" s="28"/>
      <c r="F41" s="38">
        <f t="shared" si="3"/>
        <v>7064.7433340000061</v>
      </c>
      <c r="G41" s="24"/>
      <c r="H41" s="39"/>
      <c r="I41" s="39"/>
      <c r="J41" s="39"/>
      <c r="K41" s="39"/>
      <c r="L41" s="39"/>
      <c r="M41" s="39"/>
      <c r="N41" s="39"/>
      <c r="O41" s="2"/>
      <c r="P41" s="2"/>
      <c r="Q41" s="2"/>
      <c r="R41" s="2"/>
      <c r="S41" s="2"/>
      <c r="T41" s="2"/>
      <c r="U41" s="2"/>
      <c r="V41" s="2"/>
      <c r="W41" s="2"/>
      <c r="X41" s="2"/>
      <c r="Y41" s="2"/>
      <c r="Z41" s="2"/>
    </row>
    <row r="42" spans="1:26" ht="12.75" customHeight="1" x14ac:dyDescent="0.25">
      <c r="A42" s="37" t="s">
        <v>94</v>
      </c>
      <c r="B42" s="38">
        <v>161847.94</v>
      </c>
      <c r="C42" s="28"/>
      <c r="D42" s="38">
        <f>SUMIFS(Data!N:N,Data!A:A,Data!$A$4,Data!C:C,'Projected YE Balances'!A42)-SUMIFS(Data!N:N,Data!A:A,Data!$A$50,Data!C:C,'Projected YE Balances'!A42)</f>
        <v>9880.8166670000064</v>
      </c>
      <c r="E42" s="28"/>
      <c r="F42" s="38">
        <f t="shared" si="3"/>
        <v>171728.75666700001</v>
      </c>
      <c r="G42" s="24"/>
      <c r="H42" s="39"/>
      <c r="I42" s="39"/>
      <c r="J42" s="39"/>
      <c r="K42" s="39"/>
      <c r="L42" s="39"/>
      <c r="M42" s="39"/>
      <c r="N42" s="39"/>
      <c r="O42" s="2"/>
      <c r="P42" s="2"/>
      <c r="Q42" s="2"/>
      <c r="R42" s="2"/>
      <c r="S42" s="2"/>
      <c r="T42" s="2"/>
      <c r="U42" s="2"/>
      <c r="V42" s="2"/>
      <c r="W42" s="2"/>
      <c r="X42" s="2"/>
      <c r="Y42" s="2"/>
      <c r="Z42" s="2"/>
    </row>
    <row r="43" spans="1:26" ht="12.75" customHeight="1" x14ac:dyDescent="0.25">
      <c r="A43" s="33" t="s">
        <v>95</v>
      </c>
      <c r="B43" s="34">
        <f>B44</f>
        <v>8492866.8600000031</v>
      </c>
      <c r="C43" s="35"/>
      <c r="D43" s="34">
        <f>D44</f>
        <v>1471690.7000000002</v>
      </c>
      <c r="E43" s="35"/>
      <c r="F43" s="34">
        <f>F44</f>
        <v>9964557.5600000024</v>
      </c>
      <c r="G43" s="24"/>
      <c r="H43" s="39"/>
      <c r="I43" s="39"/>
      <c r="J43" s="39"/>
      <c r="K43" s="38">
        <f>F43</f>
        <v>9964557.5600000024</v>
      </c>
      <c r="L43" s="39"/>
      <c r="M43" s="39"/>
      <c r="N43" s="39"/>
      <c r="O43" s="2"/>
      <c r="P43" s="2"/>
      <c r="Q43" s="2"/>
      <c r="R43" s="2"/>
      <c r="S43" s="2"/>
      <c r="T43" s="2"/>
      <c r="U43" s="2"/>
      <c r="V43" s="2"/>
      <c r="W43" s="2"/>
      <c r="X43" s="2"/>
      <c r="Y43" s="2"/>
      <c r="Z43" s="2"/>
    </row>
    <row r="44" spans="1:26" ht="12.75" customHeight="1" x14ac:dyDescent="0.25">
      <c r="A44" s="37" t="s">
        <v>96</v>
      </c>
      <c r="B44" s="38">
        <v>8492866.8600000031</v>
      </c>
      <c r="C44" s="28"/>
      <c r="D44" s="38">
        <f>SUMIFS(Data!N:N,Data!A:A,Data!$A$4,Data!C:C,'Projected YE Balances'!A44)-SUMIFS(Data!N:N,Data!A:A,Data!$A$50,Data!C:C,'Projected YE Balances'!A44)</f>
        <v>1471690.7000000002</v>
      </c>
      <c r="E44" s="28"/>
      <c r="F44" s="38">
        <f>B44+D44</f>
        <v>9964557.5600000024</v>
      </c>
      <c r="G44" s="24"/>
      <c r="H44" s="39"/>
      <c r="I44" s="39"/>
      <c r="J44" s="39"/>
      <c r="K44" s="39"/>
      <c r="L44" s="39"/>
      <c r="M44" s="39"/>
      <c r="N44" s="39"/>
      <c r="O44" s="2"/>
      <c r="P44" s="2"/>
      <c r="Q44" s="2"/>
      <c r="R44" s="2"/>
      <c r="S44" s="2"/>
      <c r="T44" s="2"/>
      <c r="U44" s="2"/>
      <c r="V44" s="2"/>
      <c r="W44" s="2"/>
      <c r="X44" s="2"/>
      <c r="Y44" s="2"/>
      <c r="Z44" s="2"/>
    </row>
    <row r="45" spans="1:26" ht="12.75" customHeight="1" x14ac:dyDescent="0.25">
      <c r="A45" s="33" t="s">
        <v>97</v>
      </c>
      <c r="B45" s="34">
        <f>B46</f>
        <v>348940.8200000003</v>
      </c>
      <c r="C45" s="35"/>
      <c r="D45" s="34">
        <f>D46</f>
        <v>51570.30333799962</v>
      </c>
      <c r="E45" s="35"/>
      <c r="F45" s="34">
        <f>F46</f>
        <v>400511.12333799992</v>
      </c>
      <c r="G45" s="24"/>
      <c r="H45" s="39"/>
      <c r="I45" s="39"/>
      <c r="J45" s="39"/>
      <c r="K45" s="39"/>
      <c r="L45" s="38">
        <f>F45</f>
        <v>400511.12333799992</v>
      </c>
      <c r="M45" s="39"/>
      <c r="N45" s="39"/>
      <c r="O45" s="2"/>
      <c r="P45" s="2"/>
      <c r="Q45" s="2"/>
      <c r="R45" s="2"/>
      <c r="S45" s="2"/>
      <c r="T45" s="2"/>
      <c r="U45" s="2"/>
      <c r="V45" s="2"/>
      <c r="W45" s="2"/>
      <c r="X45" s="2"/>
      <c r="Y45" s="2"/>
      <c r="Z45" s="2"/>
    </row>
    <row r="46" spans="1:26" ht="12.75" customHeight="1" x14ac:dyDescent="0.25">
      <c r="A46" s="37" t="s">
        <v>98</v>
      </c>
      <c r="B46" s="38">
        <v>348940.8200000003</v>
      </c>
      <c r="C46" s="28"/>
      <c r="D46" s="38">
        <f>SUMIFS(Data!N:N,Data!A:A,Data!$A$4,Data!C:C,'Projected YE Balances'!A46)-SUMIFS(Data!N:N,Data!A:A,Data!$A$50,Data!C:C,'Projected YE Balances'!A46)</f>
        <v>51570.30333799962</v>
      </c>
      <c r="E46" s="28"/>
      <c r="F46" s="38">
        <f>B46+D46</f>
        <v>400511.12333799992</v>
      </c>
      <c r="G46" s="24"/>
      <c r="H46" s="39"/>
      <c r="I46" s="39"/>
      <c r="J46" s="39"/>
      <c r="K46" s="39"/>
      <c r="L46" s="39"/>
      <c r="M46" s="39"/>
      <c r="N46" s="39"/>
      <c r="O46" s="2"/>
      <c r="P46" s="2"/>
      <c r="Q46" s="2"/>
      <c r="R46" s="2"/>
      <c r="S46" s="2"/>
      <c r="T46" s="2"/>
      <c r="U46" s="2"/>
      <c r="V46" s="2"/>
      <c r="W46" s="2"/>
      <c r="X46" s="2"/>
      <c r="Y46" s="2"/>
      <c r="Z46" s="2"/>
    </row>
    <row r="47" spans="1:26" ht="12.75" customHeight="1" x14ac:dyDescent="0.25">
      <c r="A47" s="33" t="s">
        <v>99</v>
      </c>
      <c r="B47" s="34">
        <f>SUM(B48:B49)</f>
        <v>2733785.7899999991</v>
      </c>
      <c r="C47" s="35"/>
      <c r="D47" s="34">
        <f>SUM(D48:D49)</f>
        <v>-431270.71999699977</v>
      </c>
      <c r="E47" s="35"/>
      <c r="F47" s="34">
        <f>SUM(F48:F49)</f>
        <v>2302515.0700029996</v>
      </c>
      <c r="G47" s="24"/>
      <c r="H47" s="39"/>
      <c r="I47" s="39"/>
      <c r="J47" s="39"/>
      <c r="K47" s="39"/>
      <c r="L47" s="38">
        <f>F47</f>
        <v>2302515.0700029996</v>
      </c>
      <c r="M47" s="39"/>
      <c r="N47" s="39"/>
      <c r="O47" s="2"/>
      <c r="P47" s="2"/>
      <c r="Q47" s="2"/>
      <c r="R47" s="2"/>
      <c r="S47" s="2"/>
      <c r="T47" s="2"/>
      <c r="U47" s="2"/>
      <c r="V47" s="2"/>
      <c r="W47" s="2"/>
      <c r="X47" s="2"/>
      <c r="Y47" s="2"/>
      <c r="Z47" s="2"/>
    </row>
    <row r="48" spans="1:26" ht="12.75" customHeight="1" x14ac:dyDescent="0.25">
      <c r="A48" s="37" t="s">
        <v>100</v>
      </c>
      <c r="B48" s="38">
        <v>1415796.7699999996</v>
      </c>
      <c r="C48" s="28"/>
      <c r="D48" s="38">
        <f>SUMIFS(Data!N:N,Data!A:A,Data!$A$4,Data!C:C,'Projected YE Balances'!A48)-SUMIFS(Data!N:N,Data!A:A,Data!$A$50,Data!C:C,'Projected YE Balances'!A48)</f>
        <v>-429002.26666599978</v>
      </c>
      <c r="E48" s="28"/>
      <c r="F48" s="38">
        <f t="shared" ref="F48:F49" si="4">B48+D48</f>
        <v>986794.50333399978</v>
      </c>
      <c r="G48" s="24"/>
      <c r="H48" s="39"/>
      <c r="I48" s="39"/>
      <c r="J48" s="39"/>
      <c r="K48" s="39"/>
      <c r="L48" s="39"/>
      <c r="M48" s="39"/>
      <c r="N48" s="39"/>
      <c r="O48" s="2"/>
      <c r="P48" s="2"/>
      <c r="Q48" s="2"/>
      <c r="R48" s="2"/>
      <c r="S48" s="2"/>
      <c r="T48" s="2"/>
      <c r="U48" s="2"/>
      <c r="V48" s="2"/>
      <c r="W48" s="2"/>
      <c r="X48" s="2"/>
      <c r="Y48" s="2"/>
      <c r="Z48" s="2"/>
    </row>
    <row r="49" spans="1:26" ht="12.75" customHeight="1" x14ac:dyDescent="0.25">
      <c r="A49" s="37" t="s">
        <v>101</v>
      </c>
      <c r="B49" s="38">
        <v>1317989.0199999998</v>
      </c>
      <c r="C49" s="28"/>
      <c r="D49" s="38">
        <f>SUMIFS(Data!N:N,Data!A:A,Data!$A$4,Data!C:C,'Projected YE Balances'!A49)-SUMIFS(Data!N:N,Data!A:A,Data!$A$50,Data!C:C,'Projected YE Balances'!A49)</f>
        <v>-2268.453330999997</v>
      </c>
      <c r="E49" s="28"/>
      <c r="F49" s="38">
        <f t="shared" si="4"/>
        <v>1315720.5666689998</v>
      </c>
      <c r="G49" s="24"/>
      <c r="H49" s="39"/>
      <c r="I49" s="39"/>
      <c r="J49" s="39"/>
      <c r="K49" s="39"/>
      <c r="L49" s="39"/>
      <c r="M49" s="39"/>
      <c r="N49" s="39"/>
      <c r="O49" s="2"/>
      <c r="P49" s="2"/>
      <c r="Q49" s="2"/>
      <c r="R49" s="2"/>
      <c r="S49" s="2"/>
      <c r="T49" s="2"/>
      <c r="U49" s="2"/>
      <c r="V49" s="2"/>
      <c r="W49" s="2"/>
      <c r="X49" s="2"/>
      <c r="Y49" s="2"/>
      <c r="Z49" s="2"/>
    </row>
    <row r="50" spans="1:26" ht="12.75" customHeight="1" x14ac:dyDescent="0.25">
      <c r="A50" s="33" t="s">
        <v>102</v>
      </c>
      <c r="B50" s="34">
        <f>B51</f>
        <v>99711.039999999979</v>
      </c>
      <c r="C50" s="35"/>
      <c r="D50" s="34">
        <f>D51</f>
        <v>20496.603332000028</v>
      </c>
      <c r="E50" s="35"/>
      <c r="F50" s="34">
        <f>F51</f>
        <v>120207.64333200001</v>
      </c>
      <c r="G50" s="24"/>
      <c r="H50" s="39"/>
      <c r="I50" s="39"/>
      <c r="J50" s="39"/>
      <c r="K50" s="39"/>
      <c r="L50" s="38">
        <f>F50</f>
        <v>120207.64333200001</v>
      </c>
      <c r="M50" s="39"/>
      <c r="N50" s="39"/>
      <c r="O50" s="2"/>
      <c r="P50" s="2"/>
      <c r="Q50" s="2"/>
      <c r="R50" s="2"/>
      <c r="S50" s="2"/>
      <c r="T50" s="2"/>
      <c r="U50" s="2"/>
      <c r="V50" s="2"/>
      <c r="W50" s="2"/>
      <c r="X50" s="2"/>
      <c r="Y50" s="2"/>
      <c r="Z50" s="2"/>
    </row>
    <row r="51" spans="1:26" ht="12.75" customHeight="1" x14ac:dyDescent="0.25">
      <c r="A51" s="37" t="s">
        <v>103</v>
      </c>
      <c r="B51" s="38">
        <v>99711.039999999979</v>
      </c>
      <c r="C51" s="28"/>
      <c r="D51" s="38">
        <f>SUMIFS(Data!N:N,Data!A:A,Data!$A$4,Data!C:C,'Projected YE Balances'!A51)-SUMIFS(Data!N:N,Data!A:A,Data!$A$50,Data!C:C,'Projected YE Balances'!A51)</f>
        <v>20496.603332000028</v>
      </c>
      <c r="E51" s="28"/>
      <c r="F51" s="38">
        <f>B51+D51</f>
        <v>120207.64333200001</v>
      </c>
      <c r="G51" s="24"/>
      <c r="H51" s="39"/>
      <c r="I51" s="39"/>
      <c r="J51" s="39"/>
      <c r="K51" s="39"/>
      <c r="L51" s="39"/>
      <c r="M51" s="39"/>
      <c r="N51" s="39"/>
      <c r="O51" s="2"/>
      <c r="P51" s="2"/>
      <c r="Q51" s="2"/>
      <c r="R51" s="2"/>
      <c r="S51" s="2"/>
      <c r="T51" s="2"/>
      <c r="U51" s="2"/>
      <c r="V51" s="2"/>
      <c r="W51" s="2"/>
      <c r="X51" s="2"/>
      <c r="Y51" s="2"/>
      <c r="Z51" s="2"/>
    </row>
    <row r="52" spans="1:26" ht="12.75" customHeight="1" x14ac:dyDescent="0.25">
      <c r="A52" s="33" t="s">
        <v>104</v>
      </c>
      <c r="B52" s="34">
        <f>B53</f>
        <v>1623984.2000000142</v>
      </c>
      <c r="C52" s="35"/>
      <c r="D52" s="34">
        <f>D53</f>
        <v>-1171864.1066640001</v>
      </c>
      <c r="E52" s="35"/>
      <c r="F52" s="34">
        <f>F53</f>
        <v>452120.09333601408</v>
      </c>
      <c r="G52" s="24"/>
      <c r="H52" s="39"/>
      <c r="I52" s="39"/>
      <c r="J52" s="39"/>
      <c r="K52" s="39"/>
      <c r="L52" s="38">
        <f>F52</f>
        <v>452120.09333601408</v>
      </c>
      <c r="M52" s="39"/>
      <c r="N52" s="39"/>
      <c r="O52" s="2"/>
      <c r="P52" s="2"/>
      <c r="Q52" s="2"/>
      <c r="R52" s="2"/>
      <c r="S52" s="2"/>
      <c r="T52" s="2"/>
      <c r="U52" s="2"/>
      <c r="V52" s="2"/>
      <c r="W52" s="2"/>
      <c r="X52" s="2"/>
      <c r="Y52" s="2"/>
      <c r="Z52" s="2"/>
    </row>
    <row r="53" spans="1:26" ht="12.75" customHeight="1" x14ac:dyDescent="0.25">
      <c r="A53" s="37" t="s">
        <v>105</v>
      </c>
      <c r="B53" s="38">
        <v>1623984.2000000142</v>
      </c>
      <c r="C53" s="28"/>
      <c r="D53" s="38">
        <f>SUMIFS(Data!N:N,Data!A:A,Data!$A$4,Data!C:C,'Projected YE Balances'!A53)-SUMIFS(Data!N:N,Data!A:A,Data!$A$50,Data!C:C,'Projected YE Balances'!A53)</f>
        <v>-1171864.1066640001</v>
      </c>
      <c r="E53" s="28"/>
      <c r="F53" s="38">
        <f>B53+D53</f>
        <v>452120.09333601408</v>
      </c>
      <c r="G53" s="24"/>
      <c r="H53" s="39"/>
      <c r="I53" s="39"/>
      <c r="J53" s="39"/>
      <c r="K53" s="39"/>
      <c r="L53" s="39"/>
      <c r="M53" s="39"/>
      <c r="N53" s="39"/>
      <c r="O53" s="2"/>
      <c r="P53" s="2"/>
      <c r="Q53" s="2"/>
      <c r="R53" s="2"/>
      <c r="S53" s="2"/>
      <c r="T53" s="2"/>
      <c r="U53" s="2"/>
      <c r="V53" s="2"/>
      <c r="W53" s="2"/>
      <c r="X53" s="2"/>
      <c r="Y53" s="2"/>
      <c r="Z53" s="2"/>
    </row>
    <row r="54" spans="1:26" ht="12.75" customHeight="1" x14ac:dyDescent="0.25">
      <c r="A54" s="33" t="s">
        <v>106</v>
      </c>
      <c r="B54" s="34">
        <f>B55</f>
        <v>495944.86</v>
      </c>
      <c r="C54" s="35"/>
      <c r="D54" s="34">
        <f>D55</f>
        <v>-285081.30333400005</v>
      </c>
      <c r="E54" s="35"/>
      <c r="F54" s="34">
        <f>F55</f>
        <v>210863.55666599993</v>
      </c>
      <c r="G54" s="24"/>
      <c r="H54" s="39"/>
      <c r="I54" s="39"/>
      <c r="J54" s="39"/>
      <c r="K54" s="39"/>
      <c r="L54" s="39"/>
      <c r="M54" s="39"/>
      <c r="N54" s="38">
        <f>F54</f>
        <v>210863.55666599993</v>
      </c>
      <c r="O54" s="23" t="s">
        <v>107</v>
      </c>
      <c r="P54" s="2"/>
      <c r="Q54" s="2"/>
      <c r="R54" s="2"/>
      <c r="S54" s="2"/>
      <c r="T54" s="2"/>
      <c r="U54" s="2"/>
      <c r="V54" s="2"/>
      <c r="W54" s="2"/>
      <c r="X54" s="2"/>
      <c r="Y54" s="2"/>
      <c r="Z54" s="2"/>
    </row>
    <row r="55" spans="1:26" ht="12.75" customHeight="1" x14ac:dyDescent="0.25">
      <c r="A55" s="37" t="s">
        <v>108</v>
      </c>
      <c r="B55" s="38">
        <v>495944.86</v>
      </c>
      <c r="C55" s="28"/>
      <c r="D55" s="38">
        <f>SUMIFS(Data!N:N,Data!A:A,Data!$A$4,Data!C:C,'Projected YE Balances'!A55)-SUMIFS(Data!N:N,Data!A:A,Data!$A$50,Data!C:C,'Projected YE Balances'!A55)</f>
        <v>-285081.30333400005</v>
      </c>
      <c r="E55" s="28"/>
      <c r="F55" s="38">
        <f>B55+D55</f>
        <v>210863.55666599993</v>
      </c>
      <c r="G55" s="24"/>
      <c r="H55" s="39"/>
      <c r="I55" s="39"/>
      <c r="J55" s="39"/>
      <c r="K55" s="39"/>
      <c r="L55" s="39"/>
      <c r="M55" s="39"/>
      <c r="N55" s="39"/>
      <c r="O55" s="2"/>
      <c r="P55" s="2"/>
      <c r="Q55" s="2"/>
      <c r="R55" s="2"/>
      <c r="S55" s="2"/>
      <c r="T55" s="2"/>
      <c r="U55" s="2"/>
      <c r="V55" s="2"/>
      <c r="W55" s="2"/>
      <c r="X55" s="2"/>
      <c r="Y55" s="2"/>
      <c r="Z55" s="2"/>
    </row>
    <row r="56" spans="1:26" ht="12.75" customHeight="1" x14ac:dyDescent="0.25">
      <c r="A56" s="33" t="s">
        <v>109</v>
      </c>
      <c r="B56" s="34">
        <f>B57</f>
        <v>185263.55999999994</v>
      </c>
      <c r="C56" s="35"/>
      <c r="D56" s="34">
        <f>D57</f>
        <v>8068.9266669999924</v>
      </c>
      <c r="E56" s="35"/>
      <c r="F56" s="34">
        <f>F57</f>
        <v>193332.48666699993</v>
      </c>
      <c r="G56" s="24"/>
      <c r="H56" s="39"/>
      <c r="I56" s="39"/>
      <c r="J56" s="39"/>
      <c r="K56" s="39"/>
      <c r="L56" s="39"/>
      <c r="M56" s="39"/>
      <c r="N56" s="38">
        <f>F56</f>
        <v>193332.48666699993</v>
      </c>
      <c r="O56" s="2"/>
      <c r="P56" s="2"/>
      <c r="Q56" s="2"/>
      <c r="R56" s="2"/>
      <c r="S56" s="2"/>
      <c r="T56" s="2"/>
      <c r="U56" s="2"/>
      <c r="V56" s="2"/>
      <c r="W56" s="2"/>
      <c r="X56" s="2"/>
      <c r="Y56" s="2"/>
      <c r="Z56" s="2"/>
    </row>
    <row r="57" spans="1:26" ht="12.75" customHeight="1" x14ac:dyDescent="0.25">
      <c r="A57" s="37" t="s">
        <v>110</v>
      </c>
      <c r="B57" s="38">
        <v>185263.55999999994</v>
      </c>
      <c r="C57" s="28"/>
      <c r="D57" s="38">
        <f>SUMIFS(Data!N:N,Data!A:A,Data!$A$4,Data!C:C,'Projected YE Balances'!A57)-SUMIFS(Data!N:N,Data!A:A,Data!$A$50,Data!C:C,'Projected YE Balances'!A57)</f>
        <v>8068.9266669999924</v>
      </c>
      <c r="E57" s="28"/>
      <c r="F57" s="38">
        <f>B57+D57</f>
        <v>193332.48666699993</v>
      </c>
      <c r="G57" s="24"/>
      <c r="H57" s="39"/>
      <c r="I57" s="39"/>
      <c r="J57" s="39"/>
      <c r="K57" s="39"/>
      <c r="L57" s="39"/>
      <c r="M57" s="39"/>
      <c r="N57" s="39"/>
      <c r="O57" s="2"/>
      <c r="P57" s="2"/>
      <c r="Q57" s="2"/>
      <c r="R57" s="2"/>
      <c r="S57" s="2"/>
      <c r="T57" s="2"/>
      <c r="U57" s="2"/>
      <c r="V57" s="2"/>
      <c r="W57" s="2"/>
      <c r="X57" s="2"/>
      <c r="Y57" s="2"/>
      <c r="Z57" s="2"/>
    </row>
    <row r="58" spans="1:26" ht="12.75" customHeight="1" x14ac:dyDescent="0.25">
      <c r="A58" s="33" t="s">
        <v>111</v>
      </c>
      <c r="B58" s="34">
        <f>B59</f>
        <v>1095365.3500000001</v>
      </c>
      <c r="C58" s="35"/>
      <c r="D58" s="34">
        <f>D59</f>
        <v>-42425.386667000013</v>
      </c>
      <c r="E58" s="35"/>
      <c r="F58" s="34">
        <f>F59</f>
        <v>1052939.963333</v>
      </c>
      <c r="G58" s="24"/>
      <c r="H58" s="39"/>
      <c r="I58" s="39"/>
      <c r="J58" s="39"/>
      <c r="K58" s="39"/>
      <c r="L58" s="39"/>
      <c r="M58" s="39"/>
      <c r="N58" s="38">
        <f>F58</f>
        <v>1052939.963333</v>
      </c>
      <c r="O58" s="2"/>
      <c r="P58" s="2"/>
      <c r="Q58" s="2"/>
      <c r="R58" s="2"/>
      <c r="S58" s="2"/>
      <c r="T58" s="2"/>
      <c r="U58" s="2"/>
      <c r="V58" s="2"/>
      <c r="W58" s="2"/>
      <c r="X58" s="2"/>
      <c r="Y58" s="2"/>
      <c r="Z58" s="2"/>
    </row>
    <row r="59" spans="1:26" ht="12.75" customHeight="1" x14ac:dyDescent="0.25">
      <c r="A59" s="37" t="s">
        <v>112</v>
      </c>
      <c r="B59" s="38">
        <v>1095365.3500000001</v>
      </c>
      <c r="C59" s="28"/>
      <c r="D59" s="38">
        <f>SUMIFS(Data!N:N,Data!A:A,Data!$A$4,Data!C:C,'Projected YE Balances'!A59)-SUMIFS(Data!N:N,Data!A:A,Data!$A$50,Data!C:C,'Projected YE Balances'!A59)</f>
        <v>-42425.386667000013</v>
      </c>
      <c r="E59" s="28"/>
      <c r="F59" s="38">
        <f>B59+D59</f>
        <v>1052939.963333</v>
      </c>
      <c r="G59" s="24"/>
      <c r="H59" s="39"/>
      <c r="I59" s="39"/>
      <c r="J59" s="39"/>
      <c r="K59" s="39"/>
      <c r="L59" s="39"/>
      <c r="M59" s="39"/>
      <c r="N59" s="39"/>
      <c r="O59" s="2"/>
      <c r="P59" s="2"/>
      <c r="Q59" s="2"/>
      <c r="R59" s="2"/>
      <c r="S59" s="2"/>
      <c r="T59" s="2"/>
      <c r="U59" s="2"/>
      <c r="V59" s="2"/>
      <c r="W59" s="2"/>
      <c r="X59" s="2"/>
      <c r="Y59" s="2"/>
      <c r="Z59" s="2"/>
    </row>
    <row r="60" spans="1:26" ht="12.75" customHeight="1" x14ac:dyDescent="0.25">
      <c r="A60" s="33" t="s">
        <v>113</v>
      </c>
      <c r="B60" s="34">
        <f>SUM(B61:B66)</f>
        <v>743289.26</v>
      </c>
      <c r="C60" s="35"/>
      <c r="D60" s="34">
        <f>SUM(D61:D66)</f>
        <v>140145.72333400001</v>
      </c>
      <c r="E60" s="35"/>
      <c r="F60" s="34">
        <f>SUM(F61:F66)</f>
        <v>883434.98333400011</v>
      </c>
      <c r="G60" s="24"/>
      <c r="H60" s="39"/>
      <c r="I60" s="39"/>
      <c r="J60" s="39"/>
      <c r="K60" s="39"/>
      <c r="L60" s="39"/>
      <c r="M60" s="39"/>
      <c r="N60" s="38">
        <f>F60</f>
        <v>883434.98333400011</v>
      </c>
      <c r="O60" s="2"/>
      <c r="P60" s="2"/>
      <c r="Q60" s="2"/>
      <c r="R60" s="2"/>
      <c r="S60" s="2"/>
      <c r="T60" s="2"/>
      <c r="U60" s="2"/>
      <c r="V60" s="2"/>
      <c r="W60" s="2"/>
      <c r="X60" s="2"/>
      <c r="Y60" s="2"/>
      <c r="Z60" s="2"/>
    </row>
    <row r="61" spans="1:26" ht="12.75" customHeight="1" x14ac:dyDescent="0.25">
      <c r="A61" s="37" t="s">
        <v>114</v>
      </c>
      <c r="B61" s="38">
        <v>184029.09000000003</v>
      </c>
      <c r="C61" s="28"/>
      <c r="D61" s="38">
        <f>SUMIFS(Data!N:N,Data!A:A,Data!$A$4,Data!C:C,'Projected YE Balances'!A61)-SUMIFS(Data!N:N,Data!A:A,Data!$A$50,Data!C:C,'Projected YE Balances'!A61)</f>
        <v>853000</v>
      </c>
      <c r="E61" s="28"/>
      <c r="F61" s="38">
        <f t="shared" ref="F61:F66" si="5">B61+D61</f>
        <v>1037029.0900000001</v>
      </c>
      <c r="G61" s="24"/>
      <c r="H61" s="39"/>
      <c r="I61" s="39"/>
      <c r="J61" s="39"/>
      <c r="K61" s="39"/>
      <c r="L61" s="39"/>
      <c r="M61" s="39"/>
      <c r="N61" s="39"/>
      <c r="O61" s="2"/>
      <c r="P61" s="2"/>
      <c r="Q61" s="2"/>
      <c r="R61" s="2"/>
      <c r="S61" s="2"/>
      <c r="T61" s="2"/>
      <c r="U61" s="2"/>
      <c r="V61" s="2"/>
      <c r="W61" s="2"/>
      <c r="X61" s="2"/>
      <c r="Y61" s="2"/>
      <c r="Z61" s="2"/>
    </row>
    <row r="62" spans="1:26" ht="12.75" customHeight="1" x14ac:dyDescent="0.25">
      <c r="A62" s="37" t="s">
        <v>115</v>
      </c>
      <c r="B62" s="38">
        <v>0</v>
      </c>
      <c r="C62" s="28"/>
      <c r="D62" s="38">
        <f>SUMIFS(Data!N:N,Data!A:A,Data!$A$4,Data!C:C,'Projected YE Balances'!A62)-SUMIFS(Data!N:N,Data!A:A,Data!$A$50,Data!C:C,'Projected YE Balances'!A62)</f>
        <v>-22000</v>
      </c>
      <c r="E62" s="28"/>
      <c r="F62" s="38">
        <f t="shared" si="5"/>
        <v>-22000</v>
      </c>
      <c r="G62" s="24"/>
      <c r="H62" s="39"/>
      <c r="I62" s="39"/>
      <c r="J62" s="39"/>
      <c r="K62" s="39"/>
      <c r="L62" s="39"/>
      <c r="M62" s="39"/>
      <c r="N62" s="39"/>
      <c r="O62" s="2"/>
      <c r="P62" s="2"/>
      <c r="Q62" s="2"/>
      <c r="R62" s="2"/>
      <c r="S62" s="2"/>
      <c r="T62" s="2"/>
      <c r="U62" s="2"/>
      <c r="V62" s="2"/>
      <c r="W62" s="2"/>
      <c r="X62" s="2"/>
      <c r="Y62" s="2"/>
      <c r="Z62" s="2"/>
    </row>
    <row r="63" spans="1:26" ht="12.75" customHeight="1" x14ac:dyDescent="0.25">
      <c r="A63" s="37" t="s">
        <v>116</v>
      </c>
      <c r="B63" s="38">
        <v>200227.1400000001</v>
      </c>
      <c r="C63" s="28"/>
      <c r="D63" s="38">
        <f>SUMIFS(Data!N:N,Data!A:A,Data!$A$4,Data!C:C,'Projected YE Balances'!A63)-SUMIFS(Data!N:N,Data!A:A,Data!$A$50,Data!C:C,'Projected YE Balances'!A63)</f>
        <v>-631349.61333299999</v>
      </c>
      <c r="E63" s="28"/>
      <c r="F63" s="38">
        <f t="shared" si="5"/>
        <v>-431122.47333299986</v>
      </c>
      <c r="G63" s="24"/>
      <c r="H63" s="39"/>
      <c r="I63" s="39"/>
      <c r="J63" s="39"/>
      <c r="K63" s="39"/>
      <c r="L63" s="39"/>
      <c r="M63" s="39"/>
      <c r="N63" s="39"/>
      <c r="O63" s="2"/>
      <c r="P63" s="2"/>
      <c r="Q63" s="2"/>
      <c r="R63" s="2"/>
      <c r="S63" s="2"/>
      <c r="T63" s="2"/>
      <c r="U63" s="2"/>
      <c r="V63" s="2"/>
      <c r="W63" s="2"/>
      <c r="X63" s="2"/>
      <c r="Y63" s="2"/>
      <c r="Z63" s="2"/>
    </row>
    <row r="64" spans="1:26" ht="12.75" customHeight="1" x14ac:dyDescent="0.25">
      <c r="A64" s="37" t="s">
        <v>117</v>
      </c>
      <c r="B64" s="38">
        <v>313769.53999999992</v>
      </c>
      <c r="C64" s="28"/>
      <c r="D64" s="38">
        <f>SUMIFS(Data!N:N,Data!A:A,Data!$A$4,Data!C:C,'Projected YE Balances'!A64)-SUMIFS(Data!N:N,Data!A:A,Data!$A$50,Data!C:C,'Projected YE Balances'!A64)</f>
        <v>13495.336666999996</v>
      </c>
      <c r="E64" s="28"/>
      <c r="F64" s="38">
        <f t="shared" si="5"/>
        <v>327264.87666699989</v>
      </c>
      <c r="G64" s="24"/>
      <c r="H64" s="39"/>
      <c r="I64" s="39"/>
      <c r="J64" s="39"/>
      <c r="K64" s="39"/>
      <c r="L64" s="39"/>
      <c r="M64" s="39"/>
      <c r="N64" s="39"/>
      <c r="O64" s="2"/>
      <c r="P64" s="2"/>
      <c r="Q64" s="2"/>
      <c r="R64" s="2"/>
      <c r="S64" s="2"/>
      <c r="T64" s="2"/>
      <c r="U64" s="2"/>
      <c r="V64" s="2"/>
      <c r="W64" s="2"/>
      <c r="X64" s="2"/>
      <c r="Y64" s="2"/>
      <c r="Z64" s="2"/>
    </row>
    <row r="65" spans="1:26" ht="12.75" customHeight="1" x14ac:dyDescent="0.25">
      <c r="A65" s="37" t="s">
        <v>118</v>
      </c>
      <c r="B65" s="38">
        <v>43263.49</v>
      </c>
      <c r="C65" s="28"/>
      <c r="D65" s="38">
        <f>SUMIFS(Data!N:N,Data!A:A,Data!$A$4,Data!C:C,'Projected YE Balances'!A65)-SUMIFS(Data!N:N,Data!A:A,Data!$A$50,Data!C:C,'Projected YE Balances'!A65)</f>
        <v>-75000</v>
      </c>
      <c r="E65" s="28"/>
      <c r="F65" s="38">
        <f t="shared" si="5"/>
        <v>-31736.510000000002</v>
      </c>
      <c r="G65" s="24"/>
      <c r="H65" s="39"/>
      <c r="I65" s="39"/>
      <c r="J65" s="39"/>
      <c r="K65" s="39"/>
      <c r="L65" s="39"/>
      <c r="M65" s="39"/>
      <c r="N65" s="39"/>
      <c r="O65" s="2"/>
      <c r="P65" s="2"/>
      <c r="Q65" s="2"/>
      <c r="R65" s="2"/>
      <c r="S65" s="2"/>
      <c r="T65" s="2"/>
      <c r="U65" s="2"/>
      <c r="V65" s="2"/>
      <c r="W65" s="2"/>
      <c r="X65" s="2"/>
      <c r="Y65" s="2"/>
      <c r="Z65" s="2"/>
    </row>
    <row r="66" spans="1:26" ht="12.75" customHeight="1" x14ac:dyDescent="0.25">
      <c r="A66" s="37" t="s">
        <v>119</v>
      </c>
      <c r="B66" s="38">
        <v>2000</v>
      </c>
      <c r="C66" s="28"/>
      <c r="D66" s="38">
        <f>SUMIFS(Data!N:N,Data!A:A,Data!$A$4,Data!C:C,'Projected YE Balances'!A66)-SUMIFS(Data!N:N,Data!A:A,Data!$A$50,Data!C:C,'Projected YE Balances'!A66)</f>
        <v>2000</v>
      </c>
      <c r="E66" s="28"/>
      <c r="F66" s="38">
        <f t="shared" si="5"/>
        <v>4000</v>
      </c>
      <c r="G66" s="24"/>
      <c r="H66" s="39"/>
      <c r="I66" s="39"/>
      <c r="J66" s="39"/>
      <c r="K66" s="39"/>
      <c r="L66" s="39"/>
      <c r="M66" s="39"/>
      <c r="N66" s="39"/>
      <c r="O66" s="2"/>
      <c r="P66" s="2"/>
      <c r="Q66" s="2"/>
      <c r="R66" s="2"/>
      <c r="S66" s="2"/>
      <c r="T66" s="2"/>
      <c r="U66" s="2"/>
      <c r="V66" s="2"/>
      <c r="W66" s="2"/>
      <c r="X66" s="2"/>
      <c r="Y66" s="2"/>
      <c r="Z66" s="2"/>
    </row>
    <row r="67" spans="1:26" ht="12.75" customHeight="1" x14ac:dyDescent="0.25">
      <c r="A67" s="33" t="s">
        <v>120</v>
      </c>
      <c r="B67" s="34">
        <f>SUM(B68:B69)</f>
        <v>421342.89000000071</v>
      </c>
      <c r="C67" s="35"/>
      <c r="D67" s="34">
        <f>SUM(D68:D69)</f>
        <v>157282.54333400005</v>
      </c>
      <c r="E67" s="35"/>
      <c r="F67" s="34">
        <f>SUM(F68:F69)</f>
        <v>578625.43333400064</v>
      </c>
      <c r="G67" s="24"/>
      <c r="H67" s="39"/>
      <c r="I67" s="39"/>
      <c r="J67" s="39"/>
      <c r="K67" s="38">
        <f>F67</f>
        <v>578625.43333400064</v>
      </c>
      <c r="L67" s="39"/>
      <c r="M67" s="39"/>
      <c r="N67" s="39"/>
      <c r="O67" s="2"/>
      <c r="P67" s="2"/>
      <c r="Q67" s="2"/>
      <c r="R67" s="2"/>
      <c r="S67" s="2"/>
      <c r="T67" s="2"/>
      <c r="U67" s="2"/>
      <c r="V67" s="2"/>
      <c r="W67" s="2"/>
      <c r="X67" s="2"/>
      <c r="Y67" s="2"/>
      <c r="Z67" s="2"/>
    </row>
    <row r="68" spans="1:26" ht="12.75" customHeight="1" x14ac:dyDescent="0.25">
      <c r="A68" s="37" t="s">
        <v>121</v>
      </c>
      <c r="B68" s="38">
        <v>213017.86999999997</v>
      </c>
      <c r="C68" s="28"/>
      <c r="D68" s="38">
        <f>SUMIFS(Data!N:N,Data!A:A,Data!$A$4,Data!C:C,'Projected YE Balances'!A68)-SUMIFS(Data!N:N,Data!A:A,Data!$A$50,Data!C:C,'Projected YE Balances'!A68)</f>
        <v>29800.513332999995</v>
      </c>
      <c r="E68" s="28"/>
      <c r="F68" s="38">
        <f t="shared" ref="F68:F69" si="6">B68+D68</f>
        <v>242818.38333299995</v>
      </c>
      <c r="G68" s="24"/>
      <c r="H68" s="39"/>
      <c r="I68" s="39"/>
      <c r="J68" s="39"/>
      <c r="K68" s="39"/>
      <c r="L68" s="39"/>
      <c r="M68" s="39"/>
      <c r="N68" s="39"/>
      <c r="O68" s="2"/>
      <c r="P68" s="2"/>
      <c r="Q68" s="2"/>
      <c r="R68" s="2"/>
      <c r="S68" s="2"/>
      <c r="T68" s="2"/>
      <c r="U68" s="2"/>
      <c r="V68" s="2"/>
      <c r="W68" s="2"/>
      <c r="X68" s="2"/>
      <c r="Y68" s="2"/>
      <c r="Z68" s="2"/>
    </row>
    <row r="69" spans="1:26" ht="12.75" customHeight="1" x14ac:dyDescent="0.25">
      <c r="A69" s="37" t="s">
        <v>122</v>
      </c>
      <c r="B69" s="38">
        <v>208325.02000000072</v>
      </c>
      <c r="C69" s="28"/>
      <c r="D69" s="38">
        <f>SUMIFS(Data!N:N,Data!A:A,Data!$A$4,Data!C:C,'Projected YE Balances'!A69)-SUMIFS(Data!N:N,Data!A:A,Data!$A$50,Data!C:C,'Projected YE Balances'!A69)</f>
        <v>127482.03000100004</v>
      </c>
      <c r="E69" s="28"/>
      <c r="F69" s="38">
        <f t="shared" si="6"/>
        <v>335807.05000100075</v>
      </c>
      <c r="G69" s="24"/>
      <c r="H69" s="39"/>
      <c r="I69" s="39"/>
      <c r="J69" s="39"/>
      <c r="K69" s="39"/>
      <c r="L69" s="39"/>
      <c r="M69" s="39"/>
      <c r="N69" s="39"/>
      <c r="O69" s="2"/>
      <c r="P69" s="2"/>
      <c r="Q69" s="2"/>
      <c r="R69" s="2"/>
      <c r="S69" s="2"/>
      <c r="T69" s="2"/>
      <c r="U69" s="2"/>
      <c r="V69" s="2"/>
      <c r="W69" s="2"/>
      <c r="X69" s="2"/>
      <c r="Y69" s="2"/>
      <c r="Z69" s="2"/>
    </row>
    <row r="70" spans="1:26" ht="12.75" customHeight="1" x14ac:dyDescent="0.25">
      <c r="A70" s="33" t="s">
        <v>123</v>
      </c>
      <c r="B70" s="34">
        <f>SUM(B71:B72)</f>
        <v>754731.39999999898</v>
      </c>
      <c r="C70" s="35"/>
      <c r="D70" s="34">
        <f>SUM(D71:D72)</f>
        <v>-154606.39333199989</v>
      </c>
      <c r="E70" s="35"/>
      <c r="F70" s="34">
        <f>SUM(F71:F72)</f>
        <v>600125.00666799909</v>
      </c>
      <c r="G70" s="24"/>
      <c r="H70" s="39"/>
      <c r="I70" s="39"/>
      <c r="J70" s="39"/>
      <c r="K70" s="39"/>
      <c r="L70" s="38">
        <f>F70</f>
        <v>600125.00666799909</v>
      </c>
      <c r="M70" s="39"/>
      <c r="N70" s="39"/>
      <c r="O70" s="2"/>
      <c r="P70" s="2"/>
      <c r="Q70" s="2"/>
      <c r="R70" s="2"/>
      <c r="S70" s="2"/>
      <c r="T70" s="2"/>
      <c r="U70" s="2"/>
      <c r="V70" s="2"/>
      <c r="W70" s="2"/>
      <c r="X70" s="2"/>
      <c r="Y70" s="2"/>
      <c r="Z70" s="2"/>
    </row>
    <row r="71" spans="1:26" ht="12.75" customHeight="1" x14ac:dyDescent="0.25">
      <c r="A71" s="37" t="s">
        <v>124</v>
      </c>
      <c r="B71" s="38">
        <v>446040.49999999895</v>
      </c>
      <c r="C71" s="28"/>
      <c r="D71" s="38">
        <f>SUMIFS(Data!N:N,Data!A:A,Data!$A$4,Data!C:C,'Projected YE Balances'!A71)-SUMIFS(Data!N:N,Data!A:A,Data!$A$50,Data!C:C,'Projected YE Balances'!A71)</f>
        <v>5764.0500020000618</v>
      </c>
      <c r="E71" s="28"/>
      <c r="F71" s="38">
        <f t="shared" ref="F71:F72" si="7">B71+D71</f>
        <v>451804.55000199901</v>
      </c>
      <c r="G71" s="24"/>
      <c r="H71" s="39"/>
      <c r="I71" s="39"/>
      <c r="J71" s="39"/>
      <c r="K71" s="39"/>
      <c r="L71" s="39"/>
      <c r="M71" s="39"/>
      <c r="N71" s="39"/>
      <c r="O71" s="2"/>
      <c r="P71" s="2"/>
      <c r="Q71" s="2"/>
      <c r="R71" s="2"/>
      <c r="S71" s="2"/>
      <c r="T71" s="2"/>
      <c r="U71" s="2"/>
      <c r="V71" s="2"/>
      <c r="W71" s="2"/>
      <c r="X71" s="2"/>
      <c r="Y71" s="2"/>
      <c r="Z71" s="2"/>
    </row>
    <row r="72" spans="1:26" ht="12.75" customHeight="1" x14ac:dyDescent="0.25">
      <c r="A72" s="37" t="s">
        <v>125</v>
      </c>
      <c r="B72" s="38">
        <v>308690.90000000002</v>
      </c>
      <c r="C72" s="28"/>
      <c r="D72" s="38">
        <f>SUMIFS(Data!N:N,Data!A:A,Data!$A$4,Data!C:C,'Projected YE Balances'!A72)-SUMIFS(Data!N:N,Data!A:A,Data!$A$50,Data!C:C,'Projected YE Balances'!A72)</f>
        <v>-160370.44333399995</v>
      </c>
      <c r="E72" s="28"/>
      <c r="F72" s="38">
        <f t="shared" si="7"/>
        <v>148320.45666600007</v>
      </c>
      <c r="G72" s="24"/>
      <c r="H72" s="39"/>
      <c r="I72" s="39"/>
      <c r="J72" s="39"/>
      <c r="K72" s="39"/>
      <c r="L72" s="39"/>
      <c r="M72" s="39"/>
      <c r="N72" s="39"/>
      <c r="O72" s="2"/>
      <c r="P72" s="2"/>
      <c r="Q72" s="2"/>
      <c r="R72" s="2"/>
      <c r="S72" s="2"/>
      <c r="T72" s="2"/>
      <c r="U72" s="2"/>
      <c r="V72" s="2"/>
      <c r="W72" s="2"/>
      <c r="X72" s="2"/>
      <c r="Y72" s="2"/>
      <c r="Z72" s="2"/>
    </row>
    <row r="73" spans="1:26" ht="12.75" customHeight="1" x14ac:dyDescent="0.25">
      <c r="A73" s="41" t="s">
        <v>32</v>
      </c>
      <c r="B73" s="42">
        <f>B70+B67+B60+B58+B56+B54+B52+B50+B47+B45+B43+B39+B30+B30+B27+B7+B5</f>
        <v>45228787.450000085</v>
      </c>
      <c r="C73" s="35"/>
      <c r="D73" s="42">
        <f>D70+D67+D60+D58+D56+D54+D52+D50+D47+D45+D43+D39+D30+D27+D7+D5</f>
        <v>-5676523.8765580058</v>
      </c>
      <c r="E73" s="35"/>
      <c r="F73" s="42">
        <f>F70+F67+F60+F58+F56+F54+F52+F50+F47+F45+F43+F39+F30+F27+F7+F5</f>
        <v>36345198.993442088</v>
      </c>
      <c r="G73" s="24"/>
      <c r="H73" s="42">
        <f t="shared" ref="H73:N73" si="8">SUM(H5:H72)</f>
        <v>56431</v>
      </c>
      <c r="I73" s="42">
        <f t="shared" si="8"/>
        <v>-469</v>
      </c>
      <c r="J73" s="42">
        <f t="shared" si="8"/>
        <v>13093185.066666</v>
      </c>
      <c r="K73" s="42">
        <f t="shared" si="8"/>
        <v>12441762.993334003</v>
      </c>
      <c r="L73" s="42">
        <f t="shared" si="8"/>
        <v>4852433.4700150117</v>
      </c>
      <c r="M73" s="42">
        <f t="shared" si="8"/>
        <v>176364</v>
      </c>
      <c r="N73" s="42">
        <f t="shared" si="8"/>
        <v>4004294.99</v>
      </c>
      <c r="O73" s="2"/>
      <c r="P73" s="28"/>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8"/>
      <c r="Q74" s="2"/>
      <c r="R74" s="2"/>
      <c r="S74" s="2"/>
      <c r="T74" s="2"/>
      <c r="U74" s="2"/>
      <c r="V74" s="2"/>
      <c r="W74" s="2"/>
      <c r="X74" s="2"/>
      <c r="Y74" s="2"/>
      <c r="Z74" s="2"/>
    </row>
    <row r="75" spans="1:26" ht="12.75" customHeight="1" x14ac:dyDescent="0.25">
      <c r="A75" s="2"/>
      <c r="B75" s="2"/>
      <c r="C75" s="2"/>
      <c r="D75" s="28"/>
      <c r="E75" s="2"/>
      <c r="F75" s="2"/>
      <c r="G75" s="43" t="s">
        <v>59</v>
      </c>
      <c r="H75" s="79" t="s">
        <v>126</v>
      </c>
      <c r="I75" s="72"/>
      <c r="J75" s="72"/>
      <c r="K75" s="72"/>
      <c r="L75" s="72"/>
      <c r="M75" s="72"/>
      <c r="N75" s="72"/>
      <c r="O75" s="2"/>
      <c r="P75" s="2"/>
      <c r="Q75" s="2"/>
      <c r="R75" s="2"/>
      <c r="S75" s="2"/>
      <c r="T75" s="2"/>
      <c r="U75" s="2"/>
      <c r="V75" s="2"/>
      <c r="W75" s="2"/>
      <c r="X75" s="2"/>
      <c r="Y75" s="2"/>
      <c r="Z75" s="2"/>
    </row>
    <row r="76" spans="1:26" ht="12.75" customHeight="1" x14ac:dyDescent="0.25">
      <c r="A76" s="2"/>
      <c r="B76" s="2"/>
      <c r="C76" s="2"/>
      <c r="D76" s="2"/>
      <c r="E76" s="2"/>
      <c r="F76" s="2"/>
      <c r="G76" s="43" t="s">
        <v>127</v>
      </c>
      <c r="H76" s="79" t="s">
        <v>128</v>
      </c>
      <c r="I76" s="72"/>
      <c r="J76" s="72"/>
      <c r="K76" s="72"/>
      <c r="L76" s="72"/>
      <c r="M76" s="72"/>
      <c r="N76" s="72"/>
      <c r="O76" s="2"/>
      <c r="P76" s="2"/>
      <c r="Q76" s="2"/>
      <c r="R76" s="2"/>
      <c r="S76" s="2"/>
      <c r="T76" s="2"/>
      <c r="U76" s="2"/>
      <c r="V76" s="2"/>
      <c r="W76" s="2"/>
      <c r="X76" s="2"/>
      <c r="Y76" s="2"/>
      <c r="Z76" s="2"/>
    </row>
    <row r="77" spans="1:26" ht="12.75" customHeight="1" x14ac:dyDescent="0.25">
      <c r="A77" s="2"/>
      <c r="B77" s="2"/>
      <c r="C77" s="2"/>
      <c r="D77" s="2"/>
      <c r="E77" s="2"/>
      <c r="F77" s="2"/>
      <c r="G77" s="43" t="s">
        <v>107</v>
      </c>
      <c r="H77" s="79" t="s">
        <v>129</v>
      </c>
      <c r="I77" s="72"/>
      <c r="J77" s="72"/>
      <c r="K77" s="72"/>
      <c r="L77" s="72"/>
      <c r="M77" s="72"/>
      <c r="N77" s="72"/>
      <c r="O77" s="2"/>
      <c r="P77" s="2"/>
      <c r="Q77" s="2"/>
      <c r="R77" s="2"/>
      <c r="S77" s="2"/>
      <c r="T77" s="2"/>
      <c r="U77" s="2"/>
      <c r="V77" s="2"/>
      <c r="W77" s="2"/>
      <c r="X77" s="2"/>
      <c r="Y77" s="2"/>
      <c r="Z77" s="2"/>
    </row>
    <row r="78" spans="1:26" ht="12.75" customHeight="1" x14ac:dyDescent="0.25">
      <c r="A78" s="2"/>
      <c r="B78" s="2"/>
      <c r="C78" s="2"/>
      <c r="D78" s="2"/>
      <c r="E78" s="2"/>
      <c r="F78" s="2"/>
      <c r="G78" s="8"/>
      <c r="H78" s="72"/>
      <c r="I78" s="72"/>
      <c r="J78" s="72"/>
      <c r="K78" s="72"/>
      <c r="L78" s="72"/>
      <c r="M78" s="72"/>
      <c r="N78" s="7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
    <mergeCell ref="A1:F1"/>
    <mergeCell ref="H1:N1"/>
    <mergeCell ref="H75:N75"/>
    <mergeCell ref="H76:N76"/>
    <mergeCell ref="H77:N78"/>
  </mergeCells>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00"/>
  <sheetViews>
    <sheetView topLeftCell="A3" workbookViewId="0">
      <selection activeCell="A3" sqref="A3:P97"/>
    </sheetView>
  </sheetViews>
  <sheetFormatPr defaultColWidth="14.42578125" defaultRowHeight="15" customHeight="1" x14ac:dyDescent="0.25"/>
  <cols>
    <col min="1" max="1" width="13.85546875" customWidth="1"/>
    <col min="2" max="2" width="25.7109375" customWidth="1"/>
    <col min="3" max="3" width="34.7109375" customWidth="1"/>
    <col min="4" max="4" width="10.7109375" customWidth="1"/>
    <col min="5" max="5" width="9.140625" customWidth="1"/>
    <col min="6" max="6" width="10.140625" customWidth="1"/>
    <col min="7" max="7" width="8.42578125" customWidth="1"/>
    <col min="8" max="8" width="9.42578125" customWidth="1"/>
    <col min="9" max="10" width="10.42578125" customWidth="1"/>
    <col min="11" max="11" width="7.85546875" customWidth="1"/>
    <col min="12" max="12" width="11.140625" customWidth="1"/>
    <col min="13" max="13" width="14.140625" customWidth="1"/>
    <col min="14" max="14" width="10.28515625" customWidth="1"/>
    <col min="15" max="15" width="9" customWidth="1"/>
    <col min="16" max="16" width="8.42578125" customWidth="1"/>
    <col min="17" max="17" width="8.7109375" customWidth="1"/>
    <col min="18" max="18" width="10.85546875" customWidth="1"/>
    <col min="19" max="19" width="10.28515625" customWidth="1"/>
    <col min="20" max="26" width="8.7109375" customWidth="1"/>
  </cols>
  <sheetData>
    <row r="1" spans="1:16" ht="14.25" customHeight="1" x14ac:dyDescent="0.25"/>
    <row r="2" spans="1:16" ht="14.25" customHeight="1" x14ac:dyDescent="0.25"/>
    <row r="3" spans="1:16" ht="14.25" customHeight="1" x14ac:dyDescent="0.25">
      <c r="A3" s="86" t="s">
        <v>35</v>
      </c>
      <c r="B3" s="87" t="s">
        <v>36</v>
      </c>
      <c r="C3" s="87" t="s">
        <v>37</v>
      </c>
      <c r="D3" s="88" t="s">
        <v>130</v>
      </c>
      <c r="E3" s="88" t="s">
        <v>131</v>
      </c>
      <c r="F3" s="88" t="s">
        <v>132</v>
      </c>
      <c r="G3" s="88" t="s">
        <v>133</v>
      </c>
      <c r="H3" s="88" t="s">
        <v>134</v>
      </c>
      <c r="I3" s="88" t="s">
        <v>135</v>
      </c>
      <c r="J3" s="88" t="s">
        <v>136</v>
      </c>
      <c r="K3" s="88" t="s">
        <v>137</v>
      </c>
      <c r="L3" s="88" t="s">
        <v>138</v>
      </c>
      <c r="M3" s="88" t="s">
        <v>139</v>
      </c>
      <c r="N3" s="88" t="s">
        <v>140</v>
      </c>
      <c r="O3" s="88" t="s">
        <v>141</v>
      </c>
      <c r="P3" s="88" t="s">
        <v>142</v>
      </c>
    </row>
    <row r="4" spans="1:16" ht="14.25" customHeight="1" x14ac:dyDescent="0.25">
      <c r="A4" s="44" t="s">
        <v>43</v>
      </c>
      <c r="B4" s="45" t="s">
        <v>143</v>
      </c>
      <c r="C4" s="46" t="s">
        <v>61</v>
      </c>
      <c r="D4" s="47">
        <v>90000</v>
      </c>
      <c r="E4" s="47">
        <v>0</v>
      </c>
      <c r="F4" s="47">
        <v>90000</v>
      </c>
      <c r="G4" s="47">
        <v>28700.799999999999</v>
      </c>
      <c r="H4" s="47">
        <v>0</v>
      </c>
      <c r="I4" s="47">
        <v>28700.799999999999</v>
      </c>
      <c r="J4" s="48">
        <v>-61299.199999999997</v>
      </c>
      <c r="K4" s="49">
        <v>0.31889777777777778</v>
      </c>
      <c r="L4" s="47">
        <v>89550.5</v>
      </c>
      <c r="M4" s="47">
        <v>0</v>
      </c>
      <c r="N4" s="47">
        <v>89550.5</v>
      </c>
      <c r="O4" s="48">
        <v>-449.5</v>
      </c>
      <c r="P4" s="50">
        <v>0.99500555555555559</v>
      </c>
    </row>
    <row r="5" spans="1:16" ht="14.25" customHeight="1" x14ac:dyDescent="0.25">
      <c r="A5" s="44" t="s">
        <v>43</v>
      </c>
      <c r="B5" s="45" t="s">
        <v>143</v>
      </c>
      <c r="C5" s="46" t="s">
        <v>62</v>
      </c>
      <c r="D5" s="47">
        <v>27300</v>
      </c>
      <c r="E5" s="47">
        <v>0</v>
      </c>
      <c r="F5" s="47">
        <v>27300</v>
      </c>
      <c r="G5" s="47">
        <v>417.5</v>
      </c>
      <c r="H5" s="47">
        <v>0</v>
      </c>
      <c r="I5" s="47">
        <v>417.5</v>
      </c>
      <c r="J5" s="48">
        <v>-26882.5</v>
      </c>
      <c r="K5" s="49">
        <v>1.5293040293040292E-2</v>
      </c>
      <c r="L5" s="47">
        <v>6334.85</v>
      </c>
      <c r="M5" s="47">
        <v>0</v>
      </c>
      <c r="N5" s="47">
        <v>6334.85</v>
      </c>
      <c r="O5" s="48">
        <v>-20965.150000000001</v>
      </c>
      <c r="P5" s="50">
        <v>0.23204578754578756</v>
      </c>
    </row>
    <row r="6" spans="1:16" ht="14.25" customHeight="1" x14ac:dyDescent="0.25">
      <c r="A6" s="44" t="s">
        <v>43</v>
      </c>
      <c r="B6" s="45" t="s">
        <v>143</v>
      </c>
      <c r="C6" s="46" t="s">
        <v>63</v>
      </c>
      <c r="D6" s="47">
        <v>5000</v>
      </c>
      <c r="E6" s="47">
        <v>0</v>
      </c>
      <c r="F6" s="47">
        <v>5000</v>
      </c>
      <c r="G6" s="47">
        <v>137.5</v>
      </c>
      <c r="H6" s="47">
        <v>0</v>
      </c>
      <c r="I6" s="47">
        <v>137.5</v>
      </c>
      <c r="J6" s="48">
        <v>-4862.5</v>
      </c>
      <c r="K6" s="49">
        <v>2.75E-2</v>
      </c>
      <c r="L6" s="47">
        <v>895.44</v>
      </c>
      <c r="M6" s="47">
        <v>0</v>
      </c>
      <c r="N6" s="47">
        <v>895.44</v>
      </c>
      <c r="O6" s="48">
        <v>-4104.5600000000004</v>
      </c>
      <c r="P6" s="50">
        <v>0.179088</v>
      </c>
    </row>
    <row r="7" spans="1:16" ht="14.25" customHeight="1" x14ac:dyDescent="0.25">
      <c r="A7" s="44" t="s">
        <v>43</v>
      </c>
      <c r="B7" s="45" t="s">
        <v>143</v>
      </c>
      <c r="C7" s="46" t="s">
        <v>64</v>
      </c>
      <c r="D7" s="47">
        <v>6000</v>
      </c>
      <c r="E7" s="47">
        <v>0</v>
      </c>
      <c r="F7" s="47">
        <v>6000</v>
      </c>
      <c r="G7" s="47">
        <v>37.5</v>
      </c>
      <c r="H7" s="47">
        <v>0</v>
      </c>
      <c r="I7" s="47">
        <v>37.5</v>
      </c>
      <c r="J7" s="48">
        <v>-5962.5</v>
      </c>
      <c r="K7" s="49">
        <v>6.2500000000000003E-3</v>
      </c>
      <c r="L7" s="47">
        <v>1182.7733330000001</v>
      </c>
      <c r="M7" s="47">
        <v>0</v>
      </c>
      <c r="N7" s="47">
        <v>1182.7733330000001</v>
      </c>
      <c r="O7" s="48">
        <v>-4817.2266669999999</v>
      </c>
      <c r="P7" s="50">
        <v>0.19712888883333332</v>
      </c>
    </row>
    <row r="8" spans="1:16" ht="14.25" customHeight="1" x14ac:dyDescent="0.25">
      <c r="A8" s="44" t="s">
        <v>43</v>
      </c>
      <c r="B8" s="45" t="s">
        <v>143</v>
      </c>
      <c r="C8" s="46" t="s">
        <v>65</v>
      </c>
      <c r="D8" s="47">
        <v>11000</v>
      </c>
      <c r="E8" s="47">
        <v>0</v>
      </c>
      <c r="F8" s="47">
        <v>11000</v>
      </c>
      <c r="G8" s="47">
        <v>330</v>
      </c>
      <c r="H8" s="47">
        <v>0</v>
      </c>
      <c r="I8" s="47">
        <v>330</v>
      </c>
      <c r="J8" s="48">
        <v>-10670</v>
      </c>
      <c r="K8" s="49">
        <v>0.03</v>
      </c>
      <c r="L8" s="47">
        <v>4004.556666</v>
      </c>
      <c r="M8" s="47">
        <v>0</v>
      </c>
      <c r="N8" s="47">
        <v>4004.556666</v>
      </c>
      <c r="O8" s="48">
        <v>-6995.4433339999996</v>
      </c>
      <c r="P8" s="50">
        <v>0.364050606</v>
      </c>
    </row>
    <row r="9" spans="1:16" ht="14.25" customHeight="1" x14ac:dyDescent="0.25">
      <c r="A9" s="44" t="s">
        <v>43</v>
      </c>
      <c r="B9" s="45" t="s">
        <v>143</v>
      </c>
      <c r="C9" s="46" t="s">
        <v>66</v>
      </c>
      <c r="D9" s="47">
        <v>10000</v>
      </c>
      <c r="E9" s="47">
        <v>0</v>
      </c>
      <c r="F9" s="47">
        <v>10000</v>
      </c>
      <c r="G9" s="47">
        <v>200</v>
      </c>
      <c r="H9" s="47">
        <v>0</v>
      </c>
      <c r="I9" s="47">
        <v>200</v>
      </c>
      <c r="J9" s="48">
        <v>-9800</v>
      </c>
      <c r="K9" s="49">
        <v>0.02</v>
      </c>
      <c r="L9" s="47">
        <v>9622.41</v>
      </c>
      <c r="M9" s="47">
        <v>0</v>
      </c>
      <c r="N9" s="47">
        <v>9622.41</v>
      </c>
      <c r="O9" s="48">
        <v>-377.59</v>
      </c>
      <c r="P9" s="50">
        <v>0.96224100000000001</v>
      </c>
    </row>
    <row r="10" spans="1:16" ht="14.25" customHeight="1" x14ac:dyDescent="0.25">
      <c r="A10" s="44" t="s">
        <v>43</v>
      </c>
      <c r="B10" s="45" t="s">
        <v>143</v>
      </c>
      <c r="C10" s="46" t="s">
        <v>67</v>
      </c>
      <c r="D10" s="47">
        <v>19000</v>
      </c>
      <c r="E10" s="47">
        <v>0</v>
      </c>
      <c r="F10" s="47">
        <v>19000</v>
      </c>
      <c r="G10" s="47">
        <v>250</v>
      </c>
      <c r="H10" s="47">
        <v>0</v>
      </c>
      <c r="I10" s="47">
        <v>250</v>
      </c>
      <c r="J10" s="48">
        <v>-18750</v>
      </c>
      <c r="K10" s="49">
        <v>1.3157894736842105E-2</v>
      </c>
      <c r="L10" s="47">
        <v>475</v>
      </c>
      <c r="M10" s="47">
        <v>0</v>
      </c>
      <c r="N10" s="47">
        <v>475</v>
      </c>
      <c r="O10" s="48">
        <v>-18525</v>
      </c>
      <c r="P10" s="50">
        <v>2.5000000000000001E-2</v>
      </c>
    </row>
    <row r="11" spans="1:16" ht="14.25" customHeight="1" x14ac:dyDescent="0.25">
      <c r="A11" s="44" t="s">
        <v>43</v>
      </c>
      <c r="B11" s="45" t="s">
        <v>143</v>
      </c>
      <c r="C11" s="46" t="s">
        <v>68</v>
      </c>
      <c r="D11" s="47">
        <v>6000</v>
      </c>
      <c r="E11" s="47">
        <v>0</v>
      </c>
      <c r="F11" s="47">
        <v>6000</v>
      </c>
      <c r="G11" s="47">
        <v>1620</v>
      </c>
      <c r="H11" s="47">
        <v>0</v>
      </c>
      <c r="I11" s="47">
        <v>1620</v>
      </c>
      <c r="J11" s="48">
        <v>-4380</v>
      </c>
      <c r="K11" s="49">
        <v>0.27</v>
      </c>
      <c r="L11" s="47">
        <v>3350.6866660000001</v>
      </c>
      <c r="M11" s="47">
        <v>0</v>
      </c>
      <c r="N11" s="47">
        <v>3350.6866660000001</v>
      </c>
      <c r="O11" s="48">
        <v>-2649.3133339999999</v>
      </c>
      <c r="P11" s="50">
        <v>0.55844777766666664</v>
      </c>
    </row>
    <row r="12" spans="1:16" ht="14.25" customHeight="1" x14ac:dyDescent="0.25">
      <c r="A12" s="44" t="s">
        <v>43</v>
      </c>
      <c r="B12" s="45" t="s">
        <v>143</v>
      </c>
      <c r="C12" s="46" t="s">
        <v>69</v>
      </c>
      <c r="D12" s="47">
        <v>3800</v>
      </c>
      <c r="E12" s="47">
        <v>0</v>
      </c>
      <c r="F12" s="47">
        <v>3800</v>
      </c>
      <c r="G12" s="47">
        <v>287.5</v>
      </c>
      <c r="H12" s="47">
        <v>0</v>
      </c>
      <c r="I12" s="47">
        <v>287.5</v>
      </c>
      <c r="J12" s="48">
        <v>-3512.5</v>
      </c>
      <c r="K12" s="49">
        <v>7.5657894736842105E-2</v>
      </c>
      <c r="L12" s="47">
        <v>2864.9</v>
      </c>
      <c r="M12" s="47">
        <v>0</v>
      </c>
      <c r="N12" s="47">
        <v>2864.9</v>
      </c>
      <c r="O12" s="48">
        <v>-935.1</v>
      </c>
      <c r="P12" s="50">
        <v>0.75392105263157894</v>
      </c>
    </row>
    <row r="13" spans="1:16" ht="14.25" customHeight="1" x14ac:dyDescent="0.25">
      <c r="A13" s="44" t="s">
        <v>43</v>
      </c>
      <c r="B13" s="45" t="s">
        <v>143</v>
      </c>
      <c r="C13" s="46" t="s">
        <v>70</v>
      </c>
      <c r="D13" s="47">
        <v>4500</v>
      </c>
      <c r="E13" s="47">
        <v>0</v>
      </c>
      <c r="F13" s="47">
        <v>4500</v>
      </c>
      <c r="G13" s="47">
        <v>1747.5</v>
      </c>
      <c r="H13" s="47">
        <v>0</v>
      </c>
      <c r="I13" s="47">
        <v>1747.5</v>
      </c>
      <c r="J13" s="48">
        <v>-2752.5</v>
      </c>
      <c r="K13" s="49">
        <v>0.38833333333333331</v>
      </c>
      <c r="L13" s="47">
        <v>3926.18</v>
      </c>
      <c r="M13" s="47">
        <v>0</v>
      </c>
      <c r="N13" s="47">
        <v>3926.18</v>
      </c>
      <c r="O13" s="48">
        <v>-573.82000000000005</v>
      </c>
      <c r="P13" s="50">
        <v>0.8724844444444444</v>
      </c>
    </row>
    <row r="14" spans="1:16" ht="14.25" customHeight="1" x14ac:dyDescent="0.25">
      <c r="A14" s="44" t="s">
        <v>43</v>
      </c>
      <c r="B14" s="45" t="s">
        <v>143</v>
      </c>
      <c r="C14" s="46" t="s">
        <v>71</v>
      </c>
      <c r="D14" s="47">
        <v>21200</v>
      </c>
      <c r="E14" s="47">
        <v>0</v>
      </c>
      <c r="F14" s="47">
        <v>21200</v>
      </c>
      <c r="G14" s="47">
        <v>3649</v>
      </c>
      <c r="H14" s="47">
        <v>0</v>
      </c>
      <c r="I14" s="47">
        <v>3649</v>
      </c>
      <c r="J14" s="48">
        <v>-17551</v>
      </c>
      <c r="K14" s="49">
        <v>0.17212264150943396</v>
      </c>
      <c r="L14" s="47">
        <v>13291.186667</v>
      </c>
      <c r="M14" s="47">
        <v>0</v>
      </c>
      <c r="N14" s="47">
        <v>13291.186667</v>
      </c>
      <c r="O14" s="48">
        <v>-7908.8133330000001</v>
      </c>
      <c r="P14" s="50">
        <v>0.6269427673113207</v>
      </c>
    </row>
    <row r="15" spans="1:16" ht="14.25" customHeight="1" x14ac:dyDescent="0.25">
      <c r="A15" s="44" t="s">
        <v>43</v>
      </c>
      <c r="B15" s="45" t="s">
        <v>143</v>
      </c>
      <c r="C15" s="46" t="s">
        <v>72</v>
      </c>
      <c r="D15" s="47">
        <v>19000</v>
      </c>
      <c r="E15" s="47">
        <v>0</v>
      </c>
      <c r="F15" s="47">
        <v>19000</v>
      </c>
      <c r="G15" s="47">
        <v>1864</v>
      </c>
      <c r="H15" s="47">
        <v>0</v>
      </c>
      <c r="I15" s="47">
        <v>1864</v>
      </c>
      <c r="J15" s="48">
        <v>-17136</v>
      </c>
      <c r="K15" s="49">
        <v>9.8105263157894737E-2</v>
      </c>
      <c r="L15" s="47">
        <v>6391.85</v>
      </c>
      <c r="M15" s="47">
        <v>0</v>
      </c>
      <c r="N15" s="47">
        <v>6391.85</v>
      </c>
      <c r="O15" s="48">
        <v>-12608.15</v>
      </c>
      <c r="P15" s="50">
        <v>0.33641315789473686</v>
      </c>
    </row>
    <row r="16" spans="1:16" ht="14.25" customHeight="1" x14ac:dyDescent="0.25">
      <c r="A16" s="44" t="s">
        <v>43</v>
      </c>
      <c r="B16" s="45" t="s">
        <v>143</v>
      </c>
      <c r="C16" s="46" t="s">
        <v>73</v>
      </c>
      <c r="D16" s="47">
        <v>4000</v>
      </c>
      <c r="E16" s="47">
        <v>0</v>
      </c>
      <c r="F16" s="47">
        <v>4000</v>
      </c>
      <c r="G16" s="47">
        <v>50000</v>
      </c>
      <c r="H16" s="47">
        <v>0</v>
      </c>
      <c r="I16" s="47">
        <v>50000</v>
      </c>
      <c r="J16" s="47">
        <v>46000</v>
      </c>
      <c r="K16" s="49">
        <v>9.99</v>
      </c>
      <c r="L16" s="47">
        <v>50539.853332999999</v>
      </c>
      <c r="M16" s="47">
        <v>0</v>
      </c>
      <c r="N16" s="47">
        <v>50539.853332999999</v>
      </c>
      <c r="O16" s="47">
        <v>46539.853332999999</v>
      </c>
      <c r="P16" s="50">
        <v>9.99</v>
      </c>
    </row>
    <row r="17" spans="1:19" ht="14.25" customHeight="1" x14ac:dyDescent="0.25">
      <c r="A17" s="44" t="s">
        <v>43</v>
      </c>
      <c r="B17" s="45" t="s">
        <v>104</v>
      </c>
      <c r="C17" s="46" t="s">
        <v>105</v>
      </c>
      <c r="D17" s="47">
        <v>16349703</v>
      </c>
      <c r="E17" s="47">
        <v>0</v>
      </c>
      <c r="F17" s="47">
        <v>16349703</v>
      </c>
      <c r="G17" s="47">
        <v>7227097.1799999997</v>
      </c>
      <c r="H17" s="47">
        <v>0</v>
      </c>
      <c r="I17" s="47">
        <v>7227097.1799999997</v>
      </c>
      <c r="J17" s="48">
        <v>-9122605.8200000003</v>
      </c>
      <c r="K17" s="49">
        <v>0.44203232193269809</v>
      </c>
      <c r="L17" s="47">
        <v>12610709.169999</v>
      </c>
      <c r="M17" s="47">
        <v>2031790</v>
      </c>
      <c r="N17" s="47">
        <v>14642499.169999</v>
      </c>
      <c r="O17" s="48">
        <v>-1707203.8300010001</v>
      </c>
      <c r="P17" s="50">
        <v>0.89558196684055968</v>
      </c>
    </row>
    <row r="18" spans="1:19" ht="14.25" customHeight="1" x14ac:dyDescent="0.25">
      <c r="A18" s="44" t="s">
        <v>43</v>
      </c>
      <c r="B18" s="45" t="s">
        <v>97</v>
      </c>
      <c r="C18" s="46" t="s">
        <v>98</v>
      </c>
      <c r="D18" s="47">
        <v>8919552</v>
      </c>
      <c r="E18" s="47">
        <v>0</v>
      </c>
      <c r="F18" s="47">
        <v>8919552</v>
      </c>
      <c r="G18" s="47">
        <v>4047726.3</v>
      </c>
      <c r="H18" s="47">
        <v>0</v>
      </c>
      <c r="I18" s="47">
        <v>4047726.3</v>
      </c>
      <c r="J18" s="48">
        <v>-4871825.7</v>
      </c>
      <c r="K18" s="49">
        <v>0.45380376727441019</v>
      </c>
      <c r="L18" s="47">
        <v>8286657.2866669996</v>
      </c>
      <c r="M18" s="47">
        <v>0</v>
      </c>
      <c r="N18" s="47">
        <v>8286657.2866669996</v>
      </c>
      <c r="O18" s="48">
        <v>-632894.71333299996</v>
      </c>
      <c r="P18" s="50">
        <v>0.92904411417378363</v>
      </c>
    </row>
    <row r="19" spans="1:19" ht="14.25" customHeight="1" x14ac:dyDescent="0.25">
      <c r="A19" s="44" t="s">
        <v>43</v>
      </c>
      <c r="B19" s="45" t="s">
        <v>123</v>
      </c>
      <c r="C19" s="46" t="s">
        <v>124</v>
      </c>
      <c r="D19" s="47">
        <v>979575</v>
      </c>
      <c r="E19" s="47">
        <v>0</v>
      </c>
      <c r="F19" s="47">
        <v>979575</v>
      </c>
      <c r="G19" s="47">
        <v>453538.39</v>
      </c>
      <c r="H19" s="47">
        <v>0</v>
      </c>
      <c r="I19" s="47">
        <v>453538.39</v>
      </c>
      <c r="J19" s="48">
        <v>-526036.61</v>
      </c>
      <c r="K19" s="49">
        <v>0.46299506418599901</v>
      </c>
      <c r="L19" s="47">
        <v>899734.14666600002</v>
      </c>
      <c r="M19" s="47">
        <v>0</v>
      </c>
      <c r="N19" s="47">
        <v>899734.14666600002</v>
      </c>
      <c r="O19" s="48">
        <v>-79840.853333999999</v>
      </c>
      <c r="P19" s="50">
        <v>0.91849439467728355</v>
      </c>
    </row>
    <row r="20" spans="1:19" ht="14.25" customHeight="1" x14ac:dyDescent="0.25">
      <c r="A20" s="44" t="s">
        <v>43</v>
      </c>
      <c r="B20" s="45" t="s">
        <v>123</v>
      </c>
      <c r="C20" s="46" t="s">
        <v>125</v>
      </c>
      <c r="D20" s="47">
        <v>366000</v>
      </c>
      <c r="E20" s="47">
        <v>0</v>
      </c>
      <c r="F20" s="47">
        <v>366000</v>
      </c>
      <c r="G20" s="47">
        <v>148896.82999999999</v>
      </c>
      <c r="H20" s="47">
        <v>0</v>
      </c>
      <c r="I20" s="47">
        <v>148896.82999999999</v>
      </c>
      <c r="J20" s="48">
        <v>-217103.17</v>
      </c>
      <c r="K20" s="49">
        <v>0.40682193989071036</v>
      </c>
      <c r="L20" s="47">
        <v>224085.01666600001</v>
      </c>
      <c r="M20" s="47">
        <v>141915</v>
      </c>
      <c r="N20" s="47">
        <v>366000.01666600001</v>
      </c>
      <c r="O20" s="47">
        <v>1.6666E-2</v>
      </c>
      <c r="P20" s="50">
        <v>1.0000000455355191</v>
      </c>
    </row>
    <row r="21" spans="1:19" ht="14.25" customHeight="1" x14ac:dyDescent="0.25">
      <c r="A21" s="44" t="s">
        <v>43</v>
      </c>
      <c r="B21" s="45" t="s">
        <v>143</v>
      </c>
      <c r="C21" s="46" t="s">
        <v>74</v>
      </c>
      <c r="D21" s="47">
        <v>603000</v>
      </c>
      <c r="E21" s="47">
        <v>0</v>
      </c>
      <c r="F21" s="47">
        <v>603000</v>
      </c>
      <c r="G21" s="47">
        <v>316304.71000000002</v>
      </c>
      <c r="H21" s="47">
        <v>0</v>
      </c>
      <c r="I21" s="47">
        <v>316304.71000000002</v>
      </c>
      <c r="J21" s="48">
        <v>-286695.28999999998</v>
      </c>
      <c r="K21" s="49">
        <v>0.52455175787728026</v>
      </c>
      <c r="L21" s="47">
        <v>527861.74333299999</v>
      </c>
      <c r="M21" s="47">
        <v>91056</v>
      </c>
      <c r="N21" s="47">
        <v>618917.74333299999</v>
      </c>
      <c r="O21" s="47">
        <v>15917.743333</v>
      </c>
      <c r="P21" s="50">
        <v>1.0263975843001658</v>
      </c>
    </row>
    <row r="22" spans="1:19" ht="14.25" customHeight="1" x14ac:dyDescent="0.25">
      <c r="A22" s="44" t="s">
        <v>43</v>
      </c>
      <c r="B22" s="45" t="s">
        <v>143</v>
      </c>
      <c r="C22" s="46" t="s">
        <v>75</v>
      </c>
      <c r="D22" s="47">
        <v>124500</v>
      </c>
      <c r="E22" s="47">
        <v>0</v>
      </c>
      <c r="F22" s="47">
        <v>124500</v>
      </c>
      <c r="G22" s="47">
        <v>53084.01</v>
      </c>
      <c r="H22" s="47">
        <v>0</v>
      </c>
      <c r="I22" s="47">
        <v>53084.01</v>
      </c>
      <c r="J22" s="48">
        <v>-71415.990000000005</v>
      </c>
      <c r="K22" s="49">
        <v>0.42637759036144579</v>
      </c>
      <c r="L22" s="47">
        <v>130153.17000100001</v>
      </c>
      <c r="M22" s="47">
        <v>0</v>
      </c>
      <c r="N22" s="47">
        <v>130153.17000100001</v>
      </c>
      <c r="O22" s="47">
        <v>5653.1700010000004</v>
      </c>
      <c r="P22" s="50">
        <v>1.0454069879598393</v>
      </c>
    </row>
    <row r="23" spans="1:19" ht="14.25" customHeight="1" x14ac:dyDescent="0.25">
      <c r="A23" s="44" t="s">
        <v>43</v>
      </c>
      <c r="B23" s="45" t="s">
        <v>143</v>
      </c>
      <c r="C23" s="46" t="s">
        <v>76</v>
      </c>
      <c r="D23" s="47">
        <v>2840000</v>
      </c>
      <c r="E23" s="47">
        <v>0</v>
      </c>
      <c r="F23" s="47">
        <v>2840000</v>
      </c>
      <c r="G23" s="47">
        <v>1507998.58</v>
      </c>
      <c r="H23" s="47">
        <v>0</v>
      </c>
      <c r="I23" s="47">
        <v>1507998.58</v>
      </c>
      <c r="J23" s="48">
        <v>-1332001.42</v>
      </c>
      <c r="K23" s="49">
        <v>0.53098541549295775</v>
      </c>
      <c r="L23" s="47">
        <v>2884254.239999</v>
      </c>
      <c r="M23" s="47">
        <v>0</v>
      </c>
      <c r="N23" s="47">
        <v>2884254.239999</v>
      </c>
      <c r="O23" s="47">
        <v>44254.239998999998</v>
      </c>
      <c r="P23" s="50">
        <v>1.0155824788728873</v>
      </c>
    </row>
    <row r="24" spans="1:19" ht="14.25" customHeight="1" x14ac:dyDescent="0.25">
      <c r="A24" s="44" t="s">
        <v>43</v>
      </c>
      <c r="B24" s="45" t="s">
        <v>143</v>
      </c>
      <c r="C24" s="46" t="s">
        <v>77</v>
      </c>
      <c r="D24" s="47">
        <v>239359</v>
      </c>
      <c r="E24" s="47">
        <v>0</v>
      </c>
      <c r="F24" s="47">
        <v>239359</v>
      </c>
      <c r="G24" s="47">
        <v>34498.65</v>
      </c>
      <c r="H24" s="47">
        <v>0</v>
      </c>
      <c r="I24" s="47">
        <v>34498.65</v>
      </c>
      <c r="J24" s="48">
        <v>-204860.35</v>
      </c>
      <c r="K24" s="49">
        <v>0.14412932039321688</v>
      </c>
      <c r="L24" s="47">
        <v>222199.08</v>
      </c>
      <c r="M24" s="47">
        <v>0</v>
      </c>
      <c r="N24" s="47">
        <v>222199.08</v>
      </c>
      <c r="O24" s="48">
        <v>-17159.919999999998</v>
      </c>
      <c r="P24" s="50">
        <v>0.92830885824222198</v>
      </c>
    </row>
    <row r="25" spans="1:19" ht="14.25" customHeight="1" x14ac:dyDescent="0.25">
      <c r="A25" s="44" t="s">
        <v>43</v>
      </c>
      <c r="B25" s="45" t="s">
        <v>143</v>
      </c>
      <c r="C25" s="46" t="s">
        <v>78</v>
      </c>
      <c r="D25" s="47">
        <v>0</v>
      </c>
      <c r="E25" s="47">
        <v>0</v>
      </c>
      <c r="F25" s="47">
        <v>0</v>
      </c>
      <c r="G25" s="47">
        <v>1940</v>
      </c>
      <c r="H25" s="47">
        <v>0</v>
      </c>
      <c r="I25" s="47">
        <v>1940</v>
      </c>
      <c r="J25" s="47">
        <v>1940</v>
      </c>
      <c r="K25" s="49">
        <v>1</v>
      </c>
      <c r="L25" s="47">
        <v>3006.733334</v>
      </c>
      <c r="M25" s="47">
        <v>0</v>
      </c>
      <c r="N25" s="47">
        <v>3006.733334</v>
      </c>
      <c r="O25" s="47">
        <v>3006.733334</v>
      </c>
      <c r="P25" s="50">
        <v>1</v>
      </c>
    </row>
    <row r="26" spans="1:19" ht="14.25" customHeight="1" x14ac:dyDescent="0.25">
      <c r="A26" s="44" t="s">
        <v>43</v>
      </c>
      <c r="B26" s="45" t="s">
        <v>39</v>
      </c>
      <c r="C26" s="46" t="s">
        <v>40</v>
      </c>
      <c r="D26" s="47">
        <v>158666757</v>
      </c>
      <c r="E26" s="47">
        <v>733836</v>
      </c>
      <c r="F26" s="47">
        <v>159400593</v>
      </c>
      <c r="G26" s="47">
        <v>49326402.829999998</v>
      </c>
      <c r="H26" s="47">
        <v>0</v>
      </c>
      <c r="I26" s="47">
        <v>49326402.829999998</v>
      </c>
      <c r="J26" s="48">
        <v>-110074190.17</v>
      </c>
      <c r="K26" s="49">
        <v>0.30944930568733831</v>
      </c>
      <c r="L26" s="47">
        <v>146265628.03332099</v>
      </c>
      <c r="M26" s="47">
        <v>14329372</v>
      </c>
      <c r="N26" s="47">
        <v>160595000.03332099</v>
      </c>
      <c r="O26" s="47">
        <v>1194407.0333209999</v>
      </c>
      <c r="P26" s="50">
        <v>1.0074931153695332</v>
      </c>
      <c r="R26" s="51"/>
      <c r="S26" s="51"/>
    </row>
    <row r="27" spans="1:19" ht="14.25" customHeight="1" x14ac:dyDescent="0.25">
      <c r="A27" s="44" t="s">
        <v>43</v>
      </c>
      <c r="B27" s="45" t="s">
        <v>99</v>
      </c>
      <c r="C27" s="46" t="s">
        <v>100</v>
      </c>
      <c r="D27" s="47">
        <v>5612825</v>
      </c>
      <c r="E27" s="47">
        <v>15894</v>
      </c>
      <c r="F27" s="47">
        <v>5628719</v>
      </c>
      <c r="G27" s="47">
        <v>2032985.86</v>
      </c>
      <c r="H27" s="47">
        <v>0</v>
      </c>
      <c r="I27" s="47">
        <v>2032985.86</v>
      </c>
      <c r="J27" s="48">
        <v>-3595733.14</v>
      </c>
      <c r="K27" s="49">
        <v>0.36118091167812783</v>
      </c>
      <c r="L27" s="47">
        <v>3823090.6966650002</v>
      </c>
      <c r="M27" s="47">
        <v>1748825</v>
      </c>
      <c r="N27" s="47">
        <v>5571915.6966650002</v>
      </c>
      <c r="O27" s="48">
        <v>-56803.303334999997</v>
      </c>
      <c r="P27" s="50">
        <v>0.98990830714146505</v>
      </c>
    </row>
    <row r="28" spans="1:19" ht="14.25" customHeight="1" x14ac:dyDescent="0.25">
      <c r="A28" s="44" t="s">
        <v>43</v>
      </c>
      <c r="B28" s="45" t="s">
        <v>99</v>
      </c>
      <c r="C28" s="46" t="s">
        <v>101</v>
      </c>
      <c r="D28" s="47">
        <v>358500</v>
      </c>
      <c r="E28" s="47">
        <v>0</v>
      </c>
      <c r="F28" s="47">
        <v>358500</v>
      </c>
      <c r="G28" s="47">
        <v>35673.760000000002</v>
      </c>
      <c r="H28" s="47">
        <v>0</v>
      </c>
      <c r="I28" s="47">
        <v>35673.760000000002</v>
      </c>
      <c r="J28" s="48">
        <v>-322826.23999999999</v>
      </c>
      <c r="K28" s="49">
        <v>9.9508396094839607E-2</v>
      </c>
      <c r="L28" s="47">
        <v>355407.16333399998</v>
      </c>
      <c r="M28" s="47">
        <v>0</v>
      </c>
      <c r="N28" s="47">
        <v>355407.16333399998</v>
      </c>
      <c r="O28" s="48">
        <v>-3092.8366660000002</v>
      </c>
      <c r="P28" s="50">
        <v>0.99137284054114361</v>
      </c>
    </row>
    <row r="29" spans="1:19" ht="14.25" customHeight="1" x14ac:dyDescent="0.25">
      <c r="A29" s="44" t="s">
        <v>43</v>
      </c>
      <c r="B29" s="45" t="s">
        <v>95</v>
      </c>
      <c r="C29" s="46" t="s">
        <v>96</v>
      </c>
      <c r="D29" s="47">
        <v>4457953</v>
      </c>
      <c r="E29" s="47">
        <v>0</v>
      </c>
      <c r="F29" s="47">
        <v>4457953</v>
      </c>
      <c r="G29" s="47">
        <v>47882.78</v>
      </c>
      <c r="H29" s="47">
        <v>0</v>
      </c>
      <c r="I29" s="47">
        <v>47882.78</v>
      </c>
      <c r="J29" s="48">
        <v>-4410070.22</v>
      </c>
      <c r="K29" s="49">
        <v>1.0740979099600197E-2</v>
      </c>
      <c r="L29" s="47">
        <v>3752822.7099990002</v>
      </c>
      <c r="M29" s="47">
        <v>0</v>
      </c>
      <c r="N29" s="47">
        <v>3752822.7099990002</v>
      </c>
      <c r="O29" s="48">
        <v>-705130.29000100004</v>
      </c>
      <c r="P29" s="50">
        <v>0.84182644141806784</v>
      </c>
    </row>
    <row r="30" spans="1:19" ht="14.25" customHeight="1" x14ac:dyDescent="0.25">
      <c r="A30" s="44" t="s">
        <v>43</v>
      </c>
      <c r="B30" s="52" t="s">
        <v>144</v>
      </c>
      <c r="C30" s="46" t="s">
        <v>110</v>
      </c>
      <c r="D30" s="47">
        <v>145000</v>
      </c>
      <c r="E30" s="47">
        <v>0</v>
      </c>
      <c r="F30" s="47">
        <v>145000</v>
      </c>
      <c r="G30" s="47">
        <v>77064.02</v>
      </c>
      <c r="H30" s="47">
        <v>0</v>
      </c>
      <c r="I30" s="47">
        <v>77064.02</v>
      </c>
      <c r="J30" s="48">
        <v>-67935.98</v>
      </c>
      <c r="K30" s="49">
        <v>0.53147599999999995</v>
      </c>
      <c r="L30" s="47">
        <v>147395.599999</v>
      </c>
      <c r="M30" s="47">
        <v>0</v>
      </c>
      <c r="N30" s="47">
        <v>147395.599999</v>
      </c>
      <c r="O30" s="47">
        <v>2395.599999</v>
      </c>
      <c r="P30" s="50">
        <v>1.0165213793034482</v>
      </c>
    </row>
    <row r="31" spans="1:19" ht="14.25" customHeight="1" x14ac:dyDescent="0.25">
      <c r="A31" s="44" t="s">
        <v>43</v>
      </c>
      <c r="B31" s="45" t="s">
        <v>111</v>
      </c>
      <c r="C31" s="46" t="s">
        <v>112</v>
      </c>
      <c r="D31" s="47">
        <v>314000</v>
      </c>
      <c r="E31" s="47">
        <v>0</v>
      </c>
      <c r="F31" s="47">
        <v>314000</v>
      </c>
      <c r="G31" s="47">
        <v>166770.31</v>
      </c>
      <c r="H31" s="47">
        <v>0</v>
      </c>
      <c r="I31" s="47">
        <v>166770.31</v>
      </c>
      <c r="J31" s="48">
        <v>-147229.69</v>
      </c>
      <c r="K31" s="49">
        <v>0.53111563694267516</v>
      </c>
      <c r="L31" s="47">
        <v>318971.29333299998</v>
      </c>
      <c r="M31" s="47">
        <v>0</v>
      </c>
      <c r="N31" s="47">
        <v>318971.29333299998</v>
      </c>
      <c r="O31" s="47">
        <v>4971.2933329999996</v>
      </c>
      <c r="P31" s="50">
        <v>1.0158321443726115</v>
      </c>
    </row>
    <row r="32" spans="1:19" ht="14.25" customHeight="1" x14ac:dyDescent="0.25">
      <c r="A32" s="44" t="s">
        <v>43</v>
      </c>
      <c r="B32" s="45" t="s">
        <v>106</v>
      </c>
      <c r="C32" s="46" t="s">
        <v>108</v>
      </c>
      <c r="D32" s="47">
        <v>348000</v>
      </c>
      <c r="E32" s="47">
        <v>0</v>
      </c>
      <c r="F32" s="47">
        <v>348000</v>
      </c>
      <c r="G32" s="47">
        <v>184814.49</v>
      </c>
      <c r="H32" s="47">
        <v>0</v>
      </c>
      <c r="I32" s="47">
        <v>184814.49</v>
      </c>
      <c r="J32" s="48">
        <v>-163185.51</v>
      </c>
      <c r="K32" s="49">
        <v>0.53107612068965515</v>
      </c>
      <c r="L32" s="47">
        <v>353483.009999</v>
      </c>
      <c r="M32" s="47">
        <v>0</v>
      </c>
      <c r="N32" s="47">
        <v>353483.009999</v>
      </c>
      <c r="O32" s="47">
        <v>5483.0099989999999</v>
      </c>
      <c r="P32" s="50">
        <v>1.0157557758591953</v>
      </c>
    </row>
    <row r="33" spans="1:16" ht="14.25" customHeight="1" x14ac:dyDescent="0.25">
      <c r="A33" s="44" t="s">
        <v>43</v>
      </c>
      <c r="B33" s="45" t="s">
        <v>83</v>
      </c>
      <c r="C33" s="46" t="s">
        <v>84</v>
      </c>
      <c r="D33" s="47">
        <v>2746702</v>
      </c>
      <c r="E33" s="47">
        <v>0</v>
      </c>
      <c r="F33" s="47">
        <v>2746702</v>
      </c>
      <c r="G33" s="47">
        <v>419737.61</v>
      </c>
      <c r="H33" s="47">
        <v>0</v>
      </c>
      <c r="I33" s="47">
        <v>419737.61</v>
      </c>
      <c r="J33" s="48">
        <v>-2326964.39</v>
      </c>
      <c r="K33" s="49">
        <v>0.15281512519377785</v>
      </c>
      <c r="L33" s="47">
        <v>1085645.8799940001</v>
      </c>
      <c r="M33" s="47">
        <v>1445554</v>
      </c>
      <c r="N33" s="47">
        <v>2531199.8799939998</v>
      </c>
      <c r="O33" s="48">
        <v>-215502.12000600001</v>
      </c>
      <c r="P33" s="50">
        <v>0.92154149958532083</v>
      </c>
    </row>
    <row r="34" spans="1:16" ht="14.25" customHeight="1" x14ac:dyDescent="0.25">
      <c r="A34" s="44" t="s">
        <v>43</v>
      </c>
      <c r="B34" s="45" t="s">
        <v>83</v>
      </c>
      <c r="C34" s="46" t="s">
        <v>86</v>
      </c>
      <c r="D34" s="47">
        <v>20000</v>
      </c>
      <c r="E34" s="47">
        <v>0</v>
      </c>
      <c r="F34" s="47">
        <v>20000</v>
      </c>
      <c r="G34" s="47">
        <v>0</v>
      </c>
      <c r="H34" s="47">
        <v>0</v>
      </c>
      <c r="I34" s="47">
        <v>0</v>
      </c>
      <c r="J34" s="48">
        <v>-20000</v>
      </c>
      <c r="K34" s="49">
        <v>0</v>
      </c>
      <c r="L34" s="47">
        <v>1528</v>
      </c>
      <c r="M34" s="47">
        <v>19500</v>
      </c>
      <c r="N34" s="47">
        <v>21028</v>
      </c>
      <c r="O34" s="47">
        <v>1028</v>
      </c>
      <c r="P34" s="50">
        <v>1.0513999999999999</v>
      </c>
    </row>
    <row r="35" spans="1:16" ht="14.25" customHeight="1" x14ac:dyDescent="0.25">
      <c r="A35" s="44" t="s">
        <v>43</v>
      </c>
      <c r="B35" s="45" t="s">
        <v>83</v>
      </c>
      <c r="C35" s="46" t="s">
        <v>87</v>
      </c>
      <c r="D35" s="47">
        <v>1196000</v>
      </c>
      <c r="E35" s="47">
        <v>0</v>
      </c>
      <c r="F35" s="47">
        <v>1196000</v>
      </c>
      <c r="G35" s="47">
        <v>502831.09</v>
      </c>
      <c r="H35" s="47">
        <v>0</v>
      </c>
      <c r="I35" s="47">
        <v>502831.09</v>
      </c>
      <c r="J35" s="48">
        <v>-693168.91</v>
      </c>
      <c r="K35" s="49">
        <v>0.42042733277591976</v>
      </c>
      <c r="L35" s="47">
        <v>1119954.1566659999</v>
      </c>
      <c r="M35" s="47">
        <v>0</v>
      </c>
      <c r="N35" s="47">
        <v>1119954.1566659999</v>
      </c>
      <c r="O35" s="48">
        <v>-76045.843334000005</v>
      </c>
      <c r="P35" s="50">
        <v>0.93641651895150502</v>
      </c>
    </row>
    <row r="36" spans="1:16" ht="14.25" customHeight="1" x14ac:dyDescent="0.25">
      <c r="A36" s="44" t="s">
        <v>43</v>
      </c>
      <c r="B36" s="45" t="s">
        <v>83</v>
      </c>
      <c r="C36" s="46" t="s">
        <v>88</v>
      </c>
      <c r="D36" s="47">
        <v>1500</v>
      </c>
      <c r="E36" s="47">
        <v>0</v>
      </c>
      <c r="F36" s="47">
        <v>1500</v>
      </c>
      <c r="G36" s="47">
        <v>0</v>
      </c>
      <c r="H36" s="47">
        <v>0</v>
      </c>
      <c r="I36" s="47">
        <v>0</v>
      </c>
      <c r="J36" s="48">
        <v>-1500</v>
      </c>
      <c r="K36" s="49">
        <v>0</v>
      </c>
      <c r="L36" s="47">
        <v>0</v>
      </c>
      <c r="M36" s="47">
        <v>1500</v>
      </c>
      <c r="N36" s="47">
        <v>1500</v>
      </c>
      <c r="O36" s="47">
        <v>0</v>
      </c>
      <c r="P36" s="50">
        <v>1</v>
      </c>
    </row>
    <row r="37" spans="1:16" ht="14.25" customHeight="1" x14ac:dyDescent="0.25">
      <c r="A37" s="44" t="s">
        <v>43</v>
      </c>
      <c r="B37" s="45" t="s">
        <v>83</v>
      </c>
      <c r="C37" s="46" t="s">
        <v>89</v>
      </c>
      <c r="D37" s="47">
        <v>418000</v>
      </c>
      <c r="E37" s="47">
        <v>0</v>
      </c>
      <c r="F37" s="47">
        <v>418000</v>
      </c>
      <c r="G37" s="47">
        <v>274460.38</v>
      </c>
      <c r="H37" s="47">
        <v>0</v>
      </c>
      <c r="I37" s="47">
        <v>274460.38</v>
      </c>
      <c r="J37" s="48">
        <v>-143539.62</v>
      </c>
      <c r="K37" s="49">
        <v>0.65660377990430618</v>
      </c>
      <c r="L37" s="47">
        <v>499091.319999</v>
      </c>
      <c r="M37" s="47">
        <v>0</v>
      </c>
      <c r="N37" s="47">
        <v>499091.319999</v>
      </c>
      <c r="O37" s="47">
        <v>81091.319998999999</v>
      </c>
      <c r="P37" s="50">
        <v>1.1939983732033492</v>
      </c>
    </row>
    <row r="38" spans="1:16" ht="14.25" customHeight="1" x14ac:dyDescent="0.25">
      <c r="A38" s="44" t="s">
        <v>43</v>
      </c>
      <c r="B38" s="45" t="s">
        <v>83</v>
      </c>
      <c r="C38" s="46" t="s">
        <v>90</v>
      </c>
      <c r="D38" s="47">
        <v>35000</v>
      </c>
      <c r="E38" s="47">
        <v>0</v>
      </c>
      <c r="F38" s="47">
        <v>35000</v>
      </c>
      <c r="G38" s="47">
        <v>29010.43</v>
      </c>
      <c r="H38" s="47">
        <v>0</v>
      </c>
      <c r="I38" s="47">
        <v>29010.43</v>
      </c>
      <c r="J38" s="48">
        <v>-5989.57</v>
      </c>
      <c r="K38" s="49">
        <v>0.82886942857142853</v>
      </c>
      <c r="L38" s="47">
        <v>42512.803333000003</v>
      </c>
      <c r="M38" s="47">
        <v>0</v>
      </c>
      <c r="N38" s="47">
        <v>42512.803333000003</v>
      </c>
      <c r="O38" s="47">
        <v>7512.8033329999998</v>
      </c>
      <c r="P38" s="50">
        <v>1.2146515238</v>
      </c>
    </row>
    <row r="39" spans="1:16" ht="14.25" customHeight="1" x14ac:dyDescent="0.25">
      <c r="A39" s="44" t="s">
        <v>43</v>
      </c>
      <c r="B39" s="45" t="s">
        <v>83</v>
      </c>
      <c r="C39" s="46" t="s">
        <v>91</v>
      </c>
      <c r="D39" s="47">
        <v>0</v>
      </c>
      <c r="E39" s="47">
        <v>0</v>
      </c>
      <c r="F39" s="47">
        <v>0</v>
      </c>
      <c r="G39" s="47">
        <v>0</v>
      </c>
      <c r="H39" s="47">
        <v>0</v>
      </c>
      <c r="I39" s="47">
        <v>0</v>
      </c>
      <c r="J39" s="47">
        <v>0</v>
      </c>
      <c r="K39" s="49">
        <v>0</v>
      </c>
      <c r="L39" s="47">
        <v>0</v>
      </c>
      <c r="M39" s="47">
        <v>176000</v>
      </c>
      <c r="N39" s="47">
        <v>176000</v>
      </c>
      <c r="O39" s="47">
        <v>176000</v>
      </c>
      <c r="P39" s="50">
        <v>1</v>
      </c>
    </row>
    <row r="40" spans="1:16" ht="14.25" customHeight="1" x14ac:dyDescent="0.25">
      <c r="A40" s="44" t="s">
        <v>43</v>
      </c>
      <c r="B40" s="45" t="s">
        <v>102</v>
      </c>
      <c r="C40" s="46" t="s">
        <v>103</v>
      </c>
      <c r="D40" s="47">
        <v>367000</v>
      </c>
      <c r="E40" s="47">
        <v>0</v>
      </c>
      <c r="F40" s="47">
        <v>367000</v>
      </c>
      <c r="G40" s="47">
        <v>192749.26</v>
      </c>
      <c r="H40" s="47">
        <v>0</v>
      </c>
      <c r="I40" s="47">
        <v>192749.26</v>
      </c>
      <c r="J40" s="48">
        <v>-174250.74</v>
      </c>
      <c r="K40" s="49">
        <v>0.52520234332425064</v>
      </c>
      <c r="L40" s="47">
        <v>373599.91999800003</v>
      </c>
      <c r="M40" s="47">
        <v>0</v>
      </c>
      <c r="N40" s="47">
        <v>373599.91999800003</v>
      </c>
      <c r="O40" s="47">
        <v>6599.9199980000003</v>
      </c>
      <c r="P40" s="50">
        <v>1.0179834332370572</v>
      </c>
    </row>
    <row r="41" spans="1:16" ht="14.25" customHeight="1" x14ac:dyDescent="0.25">
      <c r="A41" s="44" t="s">
        <v>43</v>
      </c>
      <c r="B41" s="45" t="s">
        <v>15</v>
      </c>
      <c r="C41" s="46" t="s">
        <v>92</v>
      </c>
      <c r="D41" s="47">
        <v>941273</v>
      </c>
      <c r="E41" s="47">
        <v>0</v>
      </c>
      <c r="F41" s="47">
        <v>941273</v>
      </c>
      <c r="G41" s="47">
        <v>339660.67</v>
      </c>
      <c r="H41" s="47">
        <v>0</v>
      </c>
      <c r="I41" s="47">
        <v>339660.67</v>
      </c>
      <c r="J41" s="48">
        <v>-601612.32999999996</v>
      </c>
      <c r="K41" s="49">
        <v>0.36085245194539733</v>
      </c>
      <c r="L41" s="47">
        <v>720129.05666799995</v>
      </c>
      <c r="M41" s="47">
        <v>221144</v>
      </c>
      <c r="N41" s="47">
        <v>941273.05666799995</v>
      </c>
      <c r="O41" s="47">
        <v>5.6668000000000003E-2</v>
      </c>
      <c r="P41" s="50">
        <v>1.0000000602035755</v>
      </c>
    </row>
    <row r="42" spans="1:16" ht="14.25" customHeight="1" x14ac:dyDescent="0.25">
      <c r="A42" s="44" t="s">
        <v>43</v>
      </c>
      <c r="B42" s="45" t="s">
        <v>15</v>
      </c>
      <c r="C42" s="46" t="s">
        <v>93</v>
      </c>
      <c r="D42" s="47">
        <v>100168</v>
      </c>
      <c r="E42" s="47">
        <v>0</v>
      </c>
      <c r="F42" s="47">
        <v>100168</v>
      </c>
      <c r="G42" s="47">
        <v>69074</v>
      </c>
      <c r="H42" s="47">
        <v>0</v>
      </c>
      <c r="I42" s="47">
        <v>69074</v>
      </c>
      <c r="J42" s="48">
        <v>-31094</v>
      </c>
      <c r="K42" s="49">
        <v>0.68958150307483423</v>
      </c>
      <c r="L42" s="47">
        <v>137392.11333399999</v>
      </c>
      <c r="M42" s="48">
        <v>-37224</v>
      </c>
      <c r="N42" s="47">
        <v>100168.11333399999</v>
      </c>
      <c r="O42" s="47">
        <v>0.113334</v>
      </c>
      <c r="P42" s="50">
        <v>1.0000011314391821</v>
      </c>
    </row>
    <row r="43" spans="1:16" ht="14.25" customHeight="1" x14ac:dyDescent="0.25">
      <c r="A43" s="44" t="s">
        <v>43</v>
      </c>
      <c r="B43" s="45" t="s">
        <v>15</v>
      </c>
      <c r="C43" s="46" t="s">
        <v>94</v>
      </c>
      <c r="D43" s="47">
        <v>201400</v>
      </c>
      <c r="E43" s="47">
        <v>0</v>
      </c>
      <c r="F43" s="47">
        <v>201400</v>
      </c>
      <c r="G43" s="47">
        <v>33561.5</v>
      </c>
      <c r="H43" s="47">
        <v>0</v>
      </c>
      <c r="I43" s="47">
        <v>33561.5</v>
      </c>
      <c r="J43" s="48">
        <v>-167838.5</v>
      </c>
      <c r="K43" s="49">
        <v>0.16664101290963257</v>
      </c>
      <c r="L43" s="47">
        <v>214977.16666700001</v>
      </c>
      <c r="M43" s="47">
        <v>0</v>
      </c>
      <c r="N43" s="47">
        <v>214977.16666700001</v>
      </c>
      <c r="O43" s="47">
        <v>13577.166667</v>
      </c>
      <c r="P43" s="50">
        <v>1.0674139357845085</v>
      </c>
    </row>
    <row r="44" spans="1:16" ht="14.25" customHeight="1" x14ac:dyDescent="0.25">
      <c r="A44" s="44" t="s">
        <v>43</v>
      </c>
      <c r="B44" s="45" t="s">
        <v>120</v>
      </c>
      <c r="C44" s="46" t="s">
        <v>121</v>
      </c>
      <c r="D44" s="47">
        <v>74713</v>
      </c>
      <c r="E44" s="47">
        <v>0</v>
      </c>
      <c r="F44" s="47">
        <v>74713</v>
      </c>
      <c r="G44" s="47">
        <v>24017</v>
      </c>
      <c r="H44" s="47">
        <v>0</v>
      </c>
      <c r="I44" s="47">
        <v>24017</v>
      </c>
      <c r="J44" s="48">
        <v>-50696</v>
      </c>
      <c r="K44" s="49">
        <v>0.32145677459076732</v>
      </c>
      <c r="L44" s="47">
        <v>184867.04333300001</v>
      </c>
      <c r="M44" s="48">
        <v>-80000</v>
      </c>
      <c r="N44" s="47">
        <v>104867.04333299999</v>
      </c>
      <c r="O44" s="47">
        <v>30154.043333000001</v>
      </c>
      <c r="P44" s="50">
        <v>1.4035983474495737</v>
      </c>
    </row>
    <row r="45" spans="1:16" ht="14.25" customHeight="1" x14ac:dyDescent="0.25">
      <c r="A45" s="44" t="s">
        <v>43</v>
      </c>
      <c r="B45" s="45" t="s">
        <v>120</v>
      </c>
      <c r="C45" s="46" t="s">
        <v>122</v>
      </c>
      <c r="D45" s="47">
        <v>969000</v>
      </c>
      <c r="E45" s="47">
        <v>0</v>
      </c>
      <c r="F45" s="47">
        <v>969000</v>
      </c>
      <c r="G45" s="47">
        <v>541405.18999999994</v>
      </c>
      <c r="H45" s="47">
        <v>0</v>
      </c>
      <c r="I45" s="47">
        <v>541405.18999999994</v>
      </c>
      <c r="J45" s="48">
        <v>-427594.81</v>
      </c>
      <c r="K45" s="49">
        <v>0.5587256862745098</v>
      </c>
      <c r="L45" s="47">
        <v>843896.92666600004</v>
      </c>
      <c r="M45" s="47">
        <v>0</v>
      </c>
      <c r="N45" s="47">
        <v>843896.92666600004</v>
      </c>
      <c r="O45" s="48">
        <v>-125103.073334</v>
      </c>
      <c r="P45" s="50">
        <v>0.87089466116202274</v>
      </c>
    </row>
    <row r="46" spans="1:16" ht="14.25" customHeight="1" x14ac:dyDescent="0.25">
      <c r="A46" s="44" t="s">
        <v>43</v>
      </c>
      <c r="B46" s="45" t="s">
        <v>113</v>
      </c>
      <c r="C46" s="46" t="s">
        <v>114</v>
      </c>
      <c r="D46" s="47">
        <v>853000</v>
      </c>
      <c r="E46" s="47">
        <v>0</v>
      </c>
      <c r="F46" s="47">
        <v>853000</v>
      </c>
      <c r="G46" s="47">
        <v>129000</v>
      </c>
      <c r="H46" s="47">
        <v>0</v>
      </c>
      <c r="I46" s="47">
        <v>129000</v>
      </c>
      <c r="J46" s="48">
        <v>-724000</v>
      </c>
      <c r="K46" s="49">
        <v>0.15123094958968347</v>
      </c>
      <c r="L46" s="47">
        <v>129000</v>
      </c>
      <c r="M46" s="47">
        <v>724000</v>
      </c>
      <c r="N46" s="47">
        <v>853000</v>
      </c>
      <c r="O46" s="47">
        <v>0</v>
      </c>
      <c r="P46" s="50">
        <v>1</v>
      </c>
    </row>
    <row r="47" spans="1:16" ht="14.25" customHeight="1" x14ac:dyDescent="0.25">
      <c r="A47" s="44" t="s">
        <v>43</v>
      </c>
      <c r="B47" s="45" t="s">
        <v>113</v>
      </c>
      <c r="C47" s="46" t="s">
        <v>117</v>
      </c>
      <c r="D47" s="47">
        <v>100000</v>
      </c>
      <c r="E47" s="47">
        <v>0</v>
      </c>
      <c r="F47" s="47">
        <v>100000</v>
      </c>
      <c r="G47" s="47">
        <v>0</v>
      </c>
      <c r="H47" s="47">
        <v>0</v>
      </c>
      <c r="I47" s="47">
        <v>0</v>
      </c>
      <c r="J47" s="48">
        <v>-100000</v>
      </c>
      <c r="K47" s="49">
        <v>0</v>
      </c>
      <c r="L47" s="47">
        <v>0</v>
      </c>
      <c r="M47" s="47">
        <v>100000</v>
      </c>
      <c r="N47" s="47">
        <v>100000</v>
      </c>
      <c r="O47" s="47">
        <v>0</v>
      </c>
      <c r="P47" s="50">
        <v>1</v>
      </c>
    </row>
    <row r="48" spans="1:16" ht="14.25" customHeight="1" x14ac:dyDescent="0.25">
      <c r="A48" s="44" t="s">
        <v>43</v>
      </c>
      <c r="B48" s="45" t="s">
        <v>113</v>
      </c>
      <c r="C48" s="46" t="s">
        <v>119</v>
      </c>
      <c r="D48" s="47">
        <v>2000</v>
      </c>
      <c r="E48" s="47">
        <v>0</v>
      </c>
      <c r="F48" s="47">
        <v>2000</v>
      </c>
      <c r="G48" s="47">
        <v>2000</v>
      </c>
      <c r="H48" s="47">
        <v>0</v>
      </c>
      <c r="I48" s="47">
        <v>2000</v>
      </c>
      <c r="J48" s="47">
        <v>0</v>
      </c>
      <c r="K48" s="49">
        <v>1</v>
      </c>
      <c r="L48" s="47">
        <v>2000</v>
      </c>
      <c r="M48" s="47">
        <v>0</v>
      </c>
      <c r="N48" s="47">
        <v>2000</v>
      </c>
      <c r="O48" s="47">
        <v>0</v>
      </c>
      <c r="P48" s="50">
        <v>1</v>
      </c>
    </row>
    <row r="49" spans="1:16" ht="14.25" customHeight="1" x14ac:dyDescent="0.25">
      <c r="A49" s="44" t="s">
        <v>43</v>
      </c>
      <c r="B49" s="45" t="s">
        <v>80</v>
      </c>
      <c r="C49" s="46" t="s">
        <v>81</v>
      </c>
      <c r="D49" s="47">
        <v>200000</v>
      </c>
      <c r="E49" s="47">
        <v>0</v>
      </c>
      <c r="F49" s="47">
        <v>200000</v>
      </c>
      <c r="G49" s="48">
        <v>-4305.62</v>
      </c>
      <c r="H49" s="47">
        <v>0</v>
      </c>
      <c r="I49" s="48">
        <v>-4305.62</v>
      </c>
      <c r="J49" s="48">
        <v>-204305.62</v>
      </c>
      <c r="K49" s="53">
        <v>-2.1528100000000001E-2</v>
      </c>
      <c r="L49" s="47">
        <v>84217.186667000002</v>
      </c>
      <c r="M49" s="47">
        <v>115783</v>
      </c>
      <c r="N49" s="47">
        <v>200000.186667</v>
      </c>
      <c r="O49" s="47">
        <v>0.186667</v>
      </c>
      <c r="P49" s="50">
        <v>1.000000933335</v>
      </c>
    </row>
    <row r="50" spans="1:16" ht="14.25" customHeight="1" x14ac:dyDescent="0.25">
      <c r="A50" s="44" t="s">
        <v>38</v>
      </c>
      <c r="B50" s="45" t="s">
        <v>143</v>
      </c>
      <c r="C50" s="46" t="s">
        <v>61</v>
      </c>
      <c r="D50" s="47">
        <v>49750</v>
      </c>
      <c r="E50" s="47">
        <v>0</v>
      </c>
      <c r="F50" s="47">
        <v>49750</v>
      </c>
      <c r="G50" s="47">
        <v>17371.95</v>
      </c>
      <c r="H50" s="47">
        <v>0</v>
      </c>
      <c r="I50" s="47">
        <v>17371.95</v>
      </c>
      <c r="J50" s="47">
        <v>32378.05</v>
      </c>
      <c r="K50" s="49">
        <v>0.34918492462311557</v>
      </c>
      <c r="L50" s="47">
        <v>27927.526665000001</v>
      </c>
      <c r="M50" s="47">
        <v>0</v>
      </c>
      <c r="N50" s="47">
        <v>27927.526665000001</v>
      </c>
      <c r="O50" s="47">
        <v>21822.473334999999</v>
      </c>
      <c r="P50" s="50">
        <v>0.56135731989949744</v>
      </c>
    </row>
    <row r="51" spans="1:16" ht="14.25" customHeight="1" x14ac:dyDescent="0.25">
      <c r="A51" s="44" t="s">
        <v>38</v>
      </c>
      <c r="B51" s="45" t="s">
        <v>143</v>
      </c>
      <c r="C51" s="46" t="s">
        <v>62</v>
      </c>
      <c r="D51" s="47">
        <v>0</v>
      </c>
      <c r="E51" s="47">
        <v>0</v>
      </c>
      <c r="F51" s="47">
        <v>0</v>
      </c>
      <c r="G51" s="47">
        <v>16.75</v>
      </c>
      <c r="H51" s="47">
        <v>0</v>
      </c>
      <c r="I51" s="47">
        <v>16.75</v>
      </c>
      <c r="J51" s="48">
        <v>-16.75</v>
      </c>
      <c r="K51" s="53">
        <v>-1</v>
      </c>
      <c r="L51" s="47">
        <v>1922.51</v>
      </c>
      <c r="M51" s="47">
        <v>0</v>
      </c>
      <c r="N51" s="47">
        <v>1922.51</v>
      </c>
      <c r="O51" s="48">
        <v>-1922.51</v>
      </c>
      <c r="P51" s="54">
        <v>-1</v>
      </c>
    </row>
    <row r="52" spans="1:16" ht="14.25" customHeight="1" x14ac:dyDescent="0.25">
      <c r="A52" s="44" t="s">
        <v>38</v>
      </c>
      <c r="B52" s="45" t="s">
        <v>143</v>
      </c>
      <c r="C52" s="46" t="s">
        <v>63</v>
      </c>
      <c r="D52" s="47">
        <v>0</v>
      </c>
      <c r="E52" s="47">
        <v>0</v>
      </c>
      <c r="F52" s="47">
        <v>0</v>
      </c>
      <c r="G52" s="47">
        <v>6.89</v>
      </c>
      <c r="H52" s="47">
        <v>0</v>
      </c>
      <c r="I52" s="47">
        <v>6.89</v>
      </c>
      <c r="J52" s="48">
        <v>-6.89</v>
      </c>
      <c r="K52" s="53">
        <v>-1</v>
      </c>
      <c r="L52" s="47">
        <v>10.593332999999999</v>
      </c>
      <c r="M52" s="47">
        <v>0</v>
      </c>
      <c r="N52" s="47">
        <v>10.593332999999999</v>
      </c>
      <c r="O52" s="48">
        <v>-10.593332999999999</v>
      </c>
      <c r="P52" s="54">
        <v>-1</v>
      </c>
    </row>
    <row r="53" spans="1:16" ht="14.25" customHeight="1" x14ac:dyDescent="0.25">
      <c r="A53" s="44" t="s">
        <v>38</v>
      </c>
      <c r="B53" s="45" t="s">
        <v>143</v>
      </c>
      <c r="C53" s="46" t="s">
        <v>64</v>
      </c>
      <c r="D53" s="47">
        <v>0</v>
      </c>
      <c r="E53" s="47">
        <v>0</v>
      </c>
      <c r="F53" s="47">
        <v>0</v>
      </c>
      <c r="G53" s="48">
        <v>-1847.65</v>
      </c>
      <c r="H53" s="47">
        <v>0</v>
      </c>
      <c r="I53" s="48">
        <v>-1847.65</v>
      </c>
      <c r="J53" s="47">
        <v>1847.65</v>
      </c>
      <c r="K53" s="53">
        <v>-1</v>
      </c>
      <c r="L53" s="47">
        <v>623.09999800000003</v>
      </c>
      <c r="M53" s="47">
        <v>0</v>
      </c>
      <c r="N53" s="47">
        <v>623.09999800000003</v>
      </c>
      <c r="O53" s="48">
        <v>-623.09999800000003</v>
      </c>
      <c r="P53" s="54">
        <v>-1</v>
      </c>
    </row>
    <row r="54" spans="1:16" ht="14.25" customHeight="1" x14ac:dyDescent="0.25">
      <c r="A54" s="44" t="s">
        <v>38</v>
      </c>
      <c r="B54" s="45" t="s">
        <v>143</v>
      </c>
      <c r="C54" s="46" t="s">
        <v>65</v>
      </c>
      <c r="D54" s="47">
        <v>500</v>
      </c>
      <c r="E54" s="47">
        <v>0</v>
      </c>
      <c r="F54" s="47">
        <v>500</v>
      </c>
      <c r="G54" s="47">
        <v>2075.3200000000002</v>
      </c>
      <c r="H54" s="47">
        <v>0</v>
      </c>
      <c r="I54" s="47">
        <v>2075.3200000000002</v>
      </c>
      <c r="J54" s="48">
        <v>-1575.32</v>
      </c>
      <c r="K54" s="49">
        <v>4.1506400000000001</v>
      </c>
      <c r="L54" s="47">
        <v>2109.2633329999999</v>
      </c>
      <c r="M54" s="47">
        <v>0</v>
      </c>
      <c r="N54" s="47">
        <v>2109.2633329999999</v>
      </c>
      <c r="O54" s="48">
        <v>-1609.2633330000001</v>
      </c>
      <c r="P54" s="50">
        <v>4.2185266659999998</v>
      </c>
    </row>
    <row r="55" spans="1:16" ht="14.25" customHeight="1" x14ac:dyDescent="0.25">
      <c r="A55" s="44" t="s">
        <v>38</v>
      </c>
      <c r="B55" s="45" t="s">
        <v>143</v>
      </c>
      <c r="C55" s="46" t="s">
        <v>66</v>
      </c>
      <c r="D55" s="47">
        <v>0</v>
      </c>
      <c r="E55" s="47">
        <v>0</v>
      </c>
      <c r="F55" s="47">
        <v>0</v>
      </c>
      <c r="G55" s="47">
        <v>5</v>
      </c>
      <c r="H55" s="47">
        <v>0</v>
      </c>
      <c r="I55" s="47">
        <v>5</v>
      </c>
      <c r="J55" s="48">
        <v>-5</v>
      </c>
      <c r="K55" s="53">
        <v>-1</v>
      </c>
      <c r="L55" s="47">
        <v>7.91</v>
      </c>
      <c r="M55" s="47">
        <v>0</v>
      </c>
      <c r="N55" s="47">
        <v>7.91</v>
      </c>
      <c r="O55" s="48">
        <v>-7.91</v>
      </c>
      <c r="P55" s="54">
        <v>-1</v>
      </c>
    </row>
    <row r="56" spans="1:16" ht="14.25" customHeight="1" x14ac:dyDescent="0.25">
      <c r="A56" s="44" t="s">
        <v>38</v>
      </c>
      <c r="B56" s="45" t="s">
        <v>143</v>
      </c>
      <c r="C56" s="46" t="s">
        <v>67</v>
      </c>
      <c r="D56" s="47">
        <v>2000</v>
      </c>
      <c r="E56" s="47">
        <v>0</v>
      </c>
      <c r="F56" s="47">
        <v>2000</v>
      </c>
      <c r="G56" s="47">
        <v>12.5</v>
      </c>
      <c r="H56" s="47">
        <v>0</v>
      </c>
      <c r="I56" s="47">
        <v>12.5</v>
      </c>
      <c r="J56" s="47">
        <v>1987.5</v>
      </c>
      <c r="K56" s="49">
        <v>6.2500000000000003E-3</v>
      </c>
      <c r="L56" s="47">
        <v>12.5</v>
      </c>
      <c r="M56" s="47">
        <v>0</v>
      </c>
      <c r="N56" s="47">
        <v>12.5</v>
      </c>
      <c r="O56" s="47">
        <v>1987.5</v>
      </c>
      <c r="P56" s="50">
        <v>6.2500000000000003E-3</v>
      </c>
    </row>
    <row r="57" spans="1:16" ht="14.25" customHeight="1" x14ac:dyDescent="0.25">
      <c r="A57" s="44" t="s">
        <v>38</v>
      </c>
      <c r="B57" s="45" t="s">
        <v>143</v>
      </c>
      <c r="C57" s="46" t="s">
        <v>68</v>
      </c>
      <c r="D57" s="47">
        <v>0</v>
      </c>
      <c r="E57" s="47">
        <v>0</v>
      </c>
      <c r="F57" s="47">
        <v>0</v>
      </c>
      <c r="G57" s="48">
        <v>-2387.59</v>
      </c>
      <c r="H57" s="47">
        <v>0</v>
      </c>
      <c r="I57" s="48">
        <v>-2387.59</v>
      </c>
      <c r="J57" s="47">
        <v>2387.59</v>
      </c>
      <c r="K57" s="53">
        <v>-1</v>
      </c>
      <c r="L57" s="47">
        <v>1154.8666659999999</v>
      </c>
      <c r="M57" s="47">
        <v>0</v>
      </c>
      <c r="N57" s="47">
        <v>1154.8666659999999</v>
      </c>
      <c r="O57" s="48">
        <v>-1154.8666659999999</v>
      </c>
      <c r="P57" s="54">
        <v>-1</v>
      </c>
    </row>
    <row r="58" spans="1:16" ht="14.25" customHeight="1" x14ac:dyDescent="0.25">
      <c r="A58" s="44" t="s">
        <v>38</v>
      </c>
      <c r="B58" s="45" t="s">
        <v>143</v>
      </c>
      <c r="C58" s="46" t="s">
        <v>69</v>
      </c>
      <c r="D58" s="47">
        <v>0</v>
      </c>
      <c r="E58" s="47">
        <v>0</v>
      </c>
      <c r="F58" s="47">
        <v>0</v>
      </c>
      <c r="G58" s="47">
        <v>14.39</v>
      </c>
      <c r="H58" s="47">
        <v>0</v>
      </c>
      <c r="I58" s="47">
        <v>14.39</v>
      </c>
      <c r="J58" s="48">
        <v>-14.39</v>
      </c>
      <c r="K58" s="53">
        <v>-1</v>
      </c>
      <c r="L58" s="47">
        <v>17.893332999999998</v>
      </c>
      <c r="M58" s="47">
        <v>0</v>
      </c>
      <c r="N58" s="47">
        <v>17.893332999999998</v>
      </c>
      <c r="O58" s="48">
        <v>-17.893332999999998</v>
      </c>
      <c r="P58" s="54">
        <v>-1</v>
      </c>
    </row>
    <row r="59" spans="1:16" ht="14.25" customHeight="1" x14ac:dyDescent="0.25">
      <c r="A59" s="44" t="s">
        <v>38</v>
      </c>
      <c r="B59" s="45" t="s">
        <v>143</v>
      </c>
      <c r="C59" s="46" t="s">
        <v>70</v>
      </c>
      <c r="D59" s="47">
        <v>0</v>
      </c>
      <c r="E59" s="47">
        <v>0</v>
      </c>
      <c r="F59" s="47">
        <v>0</v>
      </c>
      <c r="G59" s="47">
        <v>87.39</v>
      </c>
      <c r="H59" s="47">
        <v>0</v>
      </c>
      <c r="I59" s="47">
        <v>87.39</v>
      </c>
      <c r="J59" s="48">
        <v>-87.39</v>
      </c>
      <c r="K59" s="53">
        <v>-1</v>
      </c>
      <c r="L59" s="47">
        <v>88.696665999999993</v>
      </c>
      <c r="M59" s="47">
        <v>0</v>
      </c>
      <c r="N59" s="47">
        <v>88.696665999999993</v>
      </c>
      <c r="O59" s="48">
        <v>-88.696665999999993</v>
      </c>
      <c r="P59" s="54">
        <v>-1</v>
      </c>
    </row>
    <row r="60" spans="1:16" ht="14.25" customHeight="1" x14ac:dyDescent="0.25">
      <c r="A60" s="44" t="s">
        <v>38</v>
      </c>
      <c r="B60" s="45" t="s">
        <v>143</v>
      </c>
      <c r="C60" s="46" t="s">
        <v>71</v>
      </c>
      <c r="D60" s="47">
        <v>150</v>
      </c>
      <c r="E60" s="47">
        <v>0</v>
      </c>
      <c r="F60" s="47">
        <v>150</v>
      </c>
      <c r="G60" s="47">
        <v>4097.3500000000004</v>
      </c>
      <c r="H60" s="47">
        <v>0</v>
      </c>
      <c r="I60" s="47">
        <v>4097.3500000000004</v>
      </c>
      <c r="J60" s="48">
        <v>-3947.35</v>
      </c>
      <c r="K60" s="49">
        <v>9.99</v>
      </c>
      <c r="L60" s="47">
        <v>4164.9266669999997</v>
      </c>
      <c r="M60" s="47">
        <v>0</v>
      </c>
      <c r="N60" s="47">
        <v>4164.9266669999997</v>
      </c>
      <c r="O60" s="48">
        <v>-4014.9266670000002</v>
      </c>
      <c r="P60" s="50">
        <v>9.99</v>
      </c>
    </row>
    <row r="61" spans="1:16" ht="14.25" customHeight="1" x14ac:dyDescent="0.25">
      <c r="A61" s="44" t="s">
        <v>38</v>
      </c>
      <c r="B61" s="45" t="s">
        <v>143</v>
      </c>
      <c r="C61" s="46" t="s">
        <v>72</v>
      </c>
      <c r="D61" s="47">
        <v>1700</v>
      </c>
      <c r="E61" s="47">
        <v>0</v>
      </c>
      <c r="F61" s="47">
        <v>1700</v>
      </c>
      <c r="G61" s="47">
        <v>93.2</v>
      </c>
      <c r="H61" s="47">
        <v>0</v>
      </c>
      <c r="I61" s="47">
        <v>93.2</v>
      </c>
      <c r="J61" s="47">
        <v>1606.8</v>
      </c>
      <c r="K61" s="49">
        <v>5.4823529411764708E-2</v>
      </c>
      <c r="L61" s="47">
        <v>95.71</v>
      </c>
      <c r="M61" s="47">
        <v>0</v>
      </c>
      <c r="N61" s="47">
        <v>95.71</v>
      </c>
      <c r="O61" s="47">
        <v>1604.29</v>
      </c>
      <c r="P61" s="50">
        <v>5.6300000000000003E-2</v>
      </c>
    </row>
    <row r="62" spans="1:16" ht="14.25" customHeight="1" x14ac:dyDescent="0.25">
      <c r="A62" s="44" t="s">
        <v>38</v>
      </c>
      <c r="B62" s="45" t="s">
        <v>143</v>
      </c>
      <c r="C62" s="46" t="s">
        <v>73</v>
      </c>
      <c r="D62" s="47">
        <v>0</v>
      </c>
      <c r="E62" s="47">
        <v>0</v>
      </c>
      <c r="F62" s="47">
        <v>0</v>
      </c>
      <c r="G62" s="47">
        <v>3299.6</v>
      </c>
      <c r="H62" s="47">
        <v>0</v>
      </c>
      <c r="I62" s="47">
        <v>3299.6</v>
      </c>
      <c r="J62" s="48">
        <v>-3299.6</v>
      </c>
      <c r="K62" s="53">
        <v>-1</v>
      </c>
      <c r="L62" s="47">
        <v>3334.3033329999998</v>
      </c>
      <c r="M62" s="47">
        <v>0</v>
      </c>
      <c r="N62" s="47">
        <v>3334.3033329999998</v>
      </c>
      <c r="O62" s="48">
        <v>-3334.3033329999998</v>
      </c>
      <c r="P62" s="54">
        <v>-1</v>
      </c>
    </row>
    <row r="63" spans="1:16" ht="14.25" customHeight="1" x14ac:dyDescent="0.25">
      <c r="A63" s="44" t="s">
        <v>38</v>
      </c>
      <c r="B63" s="45" t="s">
        <v>104</v>
      </c>
      <c r="C63" s="46" t="s">
        <v>105</v>
      </c>
      <c r="D63" s="47">
        <v>15385312</v>
      </c>
      <c r="E63" s="47">
        <v>0</v>
      </c>
      <c r="F63" s="47">
        <v>15385312</v>
      </c>
      <c r="G63" s="47">
        <v>3413985.65</v>
      </c>
      <c r="H63" s="47">
        <v>1682142.22</v>
      </c>
      <c r="I63" s="47">
        <v>5096127.87</v>
      </c>
      <c r="J63" s="47">
        <v>10289184.130000001</v>
      </c>
      <c r="K63" s="49">
        <v>0.33123331330557354</v>
      </c>
      <c r="L63" s="47">
        <v>12801874.276663</v>
      </c>
      <c r="M63" s="47">
        <v>3012489</v>
      </c>
      <c r="N63" s="47">
        <v>15814363.276663</v>
      </c>
      <c r="O63" s="48">
        <v>-2111193.496663</v>
      </c>
      <c r="P63" s="50">
        <v>1.1372213638997377</v>
      </c>
    </row>
    <row r="64" spans="1:16" ht="14.25" customHeight="1" x14ac:dyDescent="0.25">
      <c r="A64" s="44" t="s">
        <v>38</v>
      </c>
      <c r="B64" s="45" t="s">
        <v>97</v>
      </c>
      <c r="C64" s="46" t="s">
        <v>98</v>
      </c>
      <c r="D64" s="47">
        <v>8895827</v>
      </c>
      <c r="E64" s="47">
        <v>0</v>
      </c>
      <c r="F64" s="47">
        <v>8895827</v>
      </c>
      <c r="G64" s="47">
        <v>573073.41</v>
      </c>
      <c r="H64" s="47">
        <v>249871.35999999999</v>
      </c>
      <c r="I64" s="47">
        <v>822944.77</v>
      </c>
      <c r="J64" s="47">
        <v>8072882.2300000004</v>
      </c>
      <c r="K64" s="49">
        <v>9.250907981911069E-2</v>
      </c>
      <c r="L64" s="47">
        <v>6275040.983329</v>
      </c>
      <c r="M64" s="47">
        <v>1960046</v>
      </c>
      <c r="N64" s="47">
        <v>8235086.983329</v>
      </c>
      <c r="O64" s="47">
        <v>410868.656671</v>
      </c>
      <c r="P64" s="50">
        <v>0.95381332655513651</v>
      </c>
    </row>
    <row r="65" spans="1:16" ht="14.25" customHeight="1" x14ac:dyDescent="0.25">
      <c r="A65" s="44" t="s">
        <v>38</v>
      </c>
      <c r="B65" s="45" t="s">
        <v>123</v>
      </c>
      <c r="C65" s="46" t="s">
        <v>124</v>
      </c>
      <c r="D65" s="47">
        <v>1059616</v>
      </c>
      <c r="E65" s="47">
        <v>0</v>
      </c>
      <c r="F65" s="47">
        <v>1059616</v>
      </c>
      <c r="G65" s="47">
        <v>169923.74</v>
      </c>
      <c r="H65" s="47">
        <v>2396.9699999999998</v>
      </c>
      <c r="I65" s="47">
        <v>172320.71</v>
      </c>
      <c r="J65" s="47">
        <v>887295.29</v>
      </c>
      <c r="K65" s="49">
        <v>0.16262562097967564</v>
      </c>
      <c r="L65" s="47">
        <v>511095.09666400001</v>
      </c>
      <c r="M65" s="47">
        <v>382875</v>
      </c>
      <c r="N65" s="47">
        <v>893970.09666399995</v>
      </c>
      <c r="O65" s="47">
        <v>163248.93333599999</v>
      </c>
      <c r="P65" s="50">
        <v>0.84593576037356932</v>
      </c>
    </row>
    <row r="66" spans="1:16" ht="14.25" customHeight="1" x14ac:dyDescent="0.25">
      <c r="A66" s="44" t="s">
        <v>38</v>
      </c>
      <c r="B66" s="45" t="s">
        <v>123</v>
      </c>
      <c r="C66" s="46" t="s">
        <v>125</v>
      </c>
      <c r="D66" s="47">
        <v>618000</v>
      </c>
      <c r="E66" s="47">
        <v>0</v>
      </c>
      <c r="F66" s="47">
        <v>618000</v>
      </c>
      <c r="G66" s="47">
        <v>132444.85</v>
      </c>
      <c r="H66" s="47">
        <v>54971.899999000001</v>
      </c>
      <c r="I66" s="47">
        <v>187416.74999899999</v>
      </c>
      <c r="J66" s="47">
        <v>430583.25000100001</v>
      </c>
      <c r="K66" s="49">
        <v>0.30326334951294498</v>
      </c>
      <c r="L66" s="47">
        <v>326971.46000000002</v>
      </c>
      <c r="M66" s="47">
        <v>199399</v>
      </c>
      <c r="N66" s="47">
        <v>526370.46</v>
      </c>
      <c r="O66" s="47">
        <v>36657.640001</v>
      </c>
      <c r="P66" s="50">
        <v>0.94068343041909386</v>
      </c>
    </row>
    <row r="67" spans="1:16" ht="14.25" customHeight="1" x14ac:dyDescent="0.25">
      <c r="A67" s="44" t="s">
        <v>38</v>
      </c>
      <c r="B67" s="45" t="s">
        <v>143</v>
      </c>
      <c r="C67" s="46" t="s">
        <v>74</v>
      </c>
      <c r="D67" s="47">
        <v>1108632</v>
      </c>
      <c r="E67" s="47">
        <v>0</v>
      </c>
      <c r="F67" s="47">
        <v>1108632</v>
      </c>
      <c r="G67" s="47">
        <v>223546.68</v>
      </c>
      <c r="H67" s="47">
        <v>0</v>
      </c>
      <c r="I67" s="47">
        <v>223546.68</v>
      </c>
      <c r="J67" s="47">
        <v>885085.32</v>
      </c>
      <c r="K67" s="49">
        <v>0.2016419154417336</v>
      </c>
      <c r="L67" s="47">
        <v>754999.89666500001</v>
      </c>
      <c r="M67" s="47">
        <v>288101</v>
      </c>
      <c r="N67" s="47">
        <v>1043100.896665</v>
      </c>
      <c r="O67" s="47">
        <v>65531.103335</v>
      </c>
      <c r="P67" s="50">
        <v>0.94089012103655678</v>
      </c>
    </row>
    <row r="68" spans="1:16" ht="14.25" customHeight="1" x14ac:dyDescent="0.25">
      <c r="A68" s="44" t="s">
        <v>38</v>
      </c>
      <c r="B68" s="45" t="s">
        <v>143</v>
      </c>
      <c r="C68" s="46" t="s">
        <v>75</v>
      </c>
      <c r="D68" s="47">
        <v>45000</v>
      </c>
      <c r="E68" s="47">
        <v>0</v>
      </c>
      <c r="F68" s="47">
        <v>45000</v>
      </c>
      <c r="G68" s="47">
        <v>15965.3</v>
      </c>
      <c r="H68" s="47">
        <v>60602</v>
      </c>
      <c r="I68" s="47">
        <v>76567.3</v>
      </c>
      <c r="J68" s="48">
        <v>-31567.3</v>
      </c>
      <c r="K68" s="49">
        <v>1.7014955555555555</v>
      </c>
      <c r="L68" s="47">
        <v>28071.896667000001</v>
      </c>
      <c r="M68" s="47">
        <v>60000</v>
      </c>
      <c r="N68" s="47">
        <v>88071.896666999994</v>
      </c>
      <c r="O68" s="48">
        <v>-103673.89666699999</v>
      </c>
      <c r="P68" s="50">
        <v>3.3038643703777777</v>
      </c>
    </row>
    <row r="69" spans="1:16" ht="14.25" customHeight="1" x14ac:dyDescent="0.25">
      <c r="A69" s="44" t="s">
        <v>38</v>
      </c>
      <c r="B69" s="45" t="s">
        <v>143</v>
      </c>
      <c r="C69" s="46" t="s">
        <v>76</v>
      </c>
      <c r="D69" s="47">
        <v>4550619</v>
      </c>
      <c r="E69" s="47">
        <v>0</v>
      </c>
      <c r="F69" s="47">
        <v>4550619</v>
      </c>
      <c r="G69" s="47">
        <v>656901.48</v>
      </c>
      <c r="H69" s="47">
        <v>228859.87</v>
      </c>
      <c r="I69" s="47">
        <v>885761.35</v>
      </c>
      <c r="J69" s="47">
        <v>3664857.65</v>
      </c>
      <c r="K69" s="49">
        <v>0.19464634371719539</v>
      </c>
      <c r="L69" s="47">
        <v>2628687.5966500002</v>
      </c>
      <c r="M69" s="47">
        <v>1000000</v>
      </c>
      <c r="N69" s="47">
        <v>3628687.5966500002</v>
      </c>
      <c r="O69" s="47">
        <v>693071.53335000004</v>
      </c>
      <c r="P69" s="50">
        <v>0.84769730593793946</v>
      </c>
    </row>
    <row r="70" spans="1:16" ht="14.25" customHeight="1" x14ac:dyDescent="0.25">
      <c r="A70" s="44" t="s">
        <v>38</v>
      </c>
      <c r="B70" s="45" t="s">
        <v>143</v>
      </c>
      <c r="C70" s="46" t="s">
        <v>77</v>
      </c>
      <c r="D70" s="47">
        <v>180759</v>
      </c>
      <c r="E70" s="47">
        <v>0</v>
      </c>
      <c r="F70" s="47">
        <v>180759</v>
      </c>
      <c r="G70" s="47">
        <v>68479.61</v>
      </c>
      <c r="H70" s="47">
        <v>0</v>
      </c>
      <c r="I70" s="47">
        <v>68479.61</v>
      </c>
      <c r="J70" s="47">
        <v>112279.39</v>
      </c>
      <c r="K70" s="49">
        <v>0.37884481547253523</v>
      </c>
      <c r="L70" s="47">
        <v>71632.646666000001</v>
      </c>
      <c r="M70" s="47">
        <v>90000</v>
      </c>
      <c r="N70" s="47">
        <v>161632.64666599999</v>
      </c>
      <c r="O70" s="47">
        <v>19126.353333999999</v>
      </c>
      <c r="P70" s="50">
        <v>0.89418865265906533</v>
      </c>
    </row>
    <row r="71" spans="1:16" ht="14.25" customHeight="1" x14ac:dyDescent="0.25">
      <c r="A71" s="44" t="s">
        <v>38</v>
      </c>
      <c r="B71" s="45" t="s">
        <v>39</v>
      </c>
      <c r="C71" s="46" t="s">
        <v>40</v>
      </c>
      <c r="D71" s="47">
        <v>158666757</v>
      </c>
      <c r="E71" s="47">
        <v>20084321</v>
      </c>
      <c r="F71" s="47">
        <v>178751078</v>
      </c>
      <c r="G71" s="47">
        <v>42194737.149999999</v>
      </c>
      <c r="H71" s="47">
        <v>2243941.739997</v>
      </c>
      <c r="I71" s="47">
        <v>44438678.889996998</v>
      </c>
      <c r="J71" s="47">
        <v>134312399.11000299</v>
      </c>
      <c r="K71" s="49">
        <v>0.24860649450179539</v>
      </c>
      <c r="L71" s="47">
        <v>152886842.246584</v>
      </c>
      <c r="M71" s="47">
        <v>9809209</v>
      </c>
      <c r="N71" s="47">
        <v>162696051.246584</v>
      </c>
      <c r="O71" s="47">
        <v>13811085.013419</v>
      </c>
      <c r="P71" s="50">
        <v>0.92273565469955376</v>
      </c>
    </row>
    <row r="72" spans="1:16" ht="14.25" customHeight="1" x14ac:dyDescent="0.25">
      <c r="A72" s="44" t="s">
        <v>38</v>
      </c>
      <c r="B72" s="45" t="s">
        <v>99</v>
      </c>
      <c r="C72" s="46" t="s">
        <v>100</v>
      </c>
      <c r="D72" s="47">
        <v>6697245</v>
      </c>
      <c r="E72" s="47">
        <v>15894</v>
      </c>
      <c r="F72" s="47">
        <v>6713139</v>
      </c>
      <c r="G72" s="47">
        <v>1442786.98</v>
      </c>
      <c r="H72" s="47">
        <v>203468.33</v>
      </c>
      <c r="I72" s="47">
        <v>1646255.31</v>
      </c>
      <c r="J72" s="47">
        <v>5066883.6900000004</v>
      </c>
      <c r="K72" s="49">
        <v>0.24522884301963657</v>
      </c>
      <c r="L72" s="47">
        <v>6000917.9633309999</v>
      </c>
      <c r="M72" s="47">
        <v>0</v>
      </c>
      <c r="N72" s="47">
        <v>6000917.9633309999</v>
      </c>
      <c r="O72" s="47">
        <v>508752.70666899998</v>
      </c>
      <c r="P72" s="50">
        <v>0.92421537723723579</v>
      </c>
    </row>
    <row r="73" spans="1:16" ht="14.25" customHeight="1" x14ac:dyDescent="0.25">
      <c r="A73" s="44" t="s">
        <v>38</v>
      </c>
      <c r="B73" s="45" t="s">
        <v>99</v>
      </c>
      <c r="C73" s="46" t="s">
        <v>101</v>
      </c>
      <c r="D73" s="47">
        <v>368780</v>
      </c>
      <c r="E73" s="47">
        <v>0</v>
      </c>
      <c r="F73" s="47">
        <v>368780</v>
      </c>
      <c r="G73" s="47">
        <v>77765.210000000006</v>
      </c>
      <c r="H73" s="47">
        <v>102462.11</v>
      </c>
      <c r="I73" s="47">
        <v>180227.32</v>
      </c>
      <c r="J73" s="47">
        <v>188552.68</v>
      </c>
      <c r="K73" s="49">
        <v>0.48871229459298227</v>
      </c>
      <c r="L73" s="47">
        <v>357675.61666499998</v>
      </c>
      <c r="M73" s="47">
        <v>0</v>
      </c>
      <c r="N73" s="47">
        <v>357675.61666499998</v>
      </c>
      <c r="O73" s="48">
        <v>-91357.726664999995</v>
      </c>
      <c r="P73" s="50">
        <v>1.2477296129535225</v>
      </c>
    </row>
    <row r="74" spans="1:16" ht="14.25" customHeight="1" x14ac:dyDescent="0.25">
      <c r="A74" s="44" t="s">
        <v>38</v>
      </c>
      <c r="B74" s="45" t="s">
        <v>95</v>
      </c>
      <c r="C74" s="46" t="s">
        <v>96</v>
      </c>
      <c r="D74" s="47">
        <v>3246641</v>
      </c>
      <c r="E74" s="47">
        <v>0</v>
      </c>
      <c r="F74" s="47">
        <v>3246641</v>
      </c>
      <c r="G74" s="47">
        <v>575414.6</v>
      </c>
      <c r="H74" s="47">
        <v>7379.54</v>
      </c>
      <c r="I74" s="47">
        <v>582794.14</v>
      </c>
      <c r="J74" s="47">
        <v>2663846.86</v>
      </c>
      <c r="K74" s="49">
        <v>0.17950680102912517</v>
      </c>
      <c r="L74" s="47">
        <v>2281132.009999</v>
      </c>
      <c r="M74" s="47">
        <v>0</v>
      </c>
      <c r="N74" s="47">
        <v>2281132.009999</v>
      </c>
      <c r="O74" s="47">
        <v>958129.45000099996</v>
      </c>
      <c r="P74" s="50">
        <v>0.70488592671595041</v>
      </c>
    </row>
    <row r="75" spans="1:16" ht="14.25" customHeight="1" x14ac:dyDescent="0.25">
      <c r="A75" s="44" t="s">
        <v>38</v>
      </c>
      <c r="B75" s="52" t="s">
        <v>144</v>
      </c>
      <c r="C75" s="46" t="s">
        <v>110</v>
      </c>
      <c r="D75" s="47">
        <v>139000</v>
      </c>
      <c r="E75" s="47">
        <v>80620</v>
      </c>
      <c r="F75" s="47">
        <v>219620</v>
      </c>
      <c r="G75" s="47">
        <v>15878.17</v>
      </c>
      <c r="H75" s="47">
        <v>1753.71</v>
      </c>
      <c r="I75" s="47">
        <v>17631.88</v>
      </c>
      <c r="J75" s="47">
        <v>201988.12</v>
      </c>
      <c r="K75" s="49">
        <v>8.0283580730352425E-2</v>
      </c>
      <c r="L75" s="47">
        <v>139326.67333200001</v>
      </c>
      <c r="M75" s="47">
        <v>0</v>
      </c>
      <c r="N75" s="47">
        <v>139326.67333200001</v>
      </c>
      <c r="O75" s="47">
        <v>78539.616668000002</v>
      </c>
      <c r="P75" s="50">
        <v>0.64238404212731082</v>
      </c>
    </row>
    <row r="76" spans="1:16" ht="14.25" customHeight="1" x14ac:dyDescent="0.25">
      <c r="A76" s="44" t="s">
        <v>38</v>
      </c>
      <c r="B76" s="45" t="s">
        <v>111</v>
      </c>
      <c r="C76" s="46" t="s">
        <v>112</v>
      </c>
      <c r="D76" s="47">
        <v>392712</v>
      </c>
      <c r="E76" s="47">
        <v>0</v>
      </c>
      <c r="F76" s="47">
        <v>392712</v>
      </c>
      <c r="G76" s="47">
        <v>107743.18</v>
      </c>
      <c r="H76" s="47">
        <v>153819.26999999999</v>
      </c>
      <c r="I76" s="47">
        <v>261562.45</v>
      </c>
      <c r="J76" s="47">
        <v>131149.54999999999</v>
      </c>
      <c r="K76" s="49">
        <v>0.66604139929515782</v>
      </c>
      <c r="L76" s="47">
        <v>361396.68</v>
      </c>
      <c r="M76" s="47">
        <v>0</v>
      </c>
      <c r="N76" s="47">
        <v>361396.68</v>
      </c>
      <c r="O76" s="48">
        <v>-122503.95</v>
      </c>
      <c r="P76" s="50">
        <v>1.3119434853022063</v>
      </c>
    </row>
    <row r="77" spans="1:16" ht="14.25" customHeight="1" x14ac:dyDescent="0.25">
      <c r="A77" s="44" t="s">
        <v>38</v>
      </c>
      <c r="B77" s="45" t="s">
        <v>106</v>
      </c>
      <c r="C77" s="46" t="s">
        <v>108</v>
      </c>
      <c r="D77" s="47">
        <v>674097</v>
      </c>
      <c r="E77" s="47">
        <v>0</v>
      </c>
      <c r="F77" s="47">
        <v>674097</v>
      </c>
      <c r="G77" s="47">
        <v>45469.79</v>
      </c>
      <c r="H77" s="47">
        <v>0</v>
      </c>
      <c r="I77" s="47">
        <v>45469.79</v>
      </c>
      <c r="J77" s="47">
        <v>628627.21</v>
      </c>
      <c r="K77" s="49">
        <v>6.7452888827572291E-2</v>
      </c>
      <c r="L77" s="47">
        <v>288564.313333</v>
      </c>
      <c r="M77" s="47">
        <v>350000</v>
      </c>
      <c r="N77" s="47">
        <v>638564.31333300006</v>
      </c>
      <c r="O77" s="47">
        <v>35532.686667000002</v>
      </c>
      <c r="P77" s="50">
        <v>0.94728846639726927</v>
      </c>
    </row>
    <row r="78" spans="1:16" ht="14.25" customHeight="1" x14ac:dyDescent="0.25">
      <c r="A78" s="44" t="s">
        <v>38</v>
      </c>
      <c r="B78" s="45" t="s">
        <v>83</v>
      </c>
      <c r="C78" s="46" t="s">
        <v>84</v>
      </c>
      <c r="D78" s="47">
        <v>2994524</v>
      </c>
      <c r="E78" s="47">
        <v>0</v>
      </c>
      <c r="F78" s="47">
        <v>2994524</v>
      </c>
      <c r="G78" s="47">
        <v>861730.32</v>
      </c>
      <c r="H78" s="47">
        <v>9940.69</v>
      </c>
      <c r="I78" s="47">
        <v>871671.01</v>
      </c>
      <c r="J78" s="47">
        <v>2122852.9900000002</v>
      </c>
      <c r="K78" s="49">
        <v>0.29108833657703193</v>
      </c>
      <c r="L78" s="47">
        <v>3434165.729996</v>
      </c>
      <c r="M78" s="48">
        <v>-727230</v>
      </c>
      <c r="N78" s="47">
        <v>2706935.729996</v>
      </c>
      <c r="O78" s="47">
        <v>277647.58000399999</v>
      </c>
      <c r="P78" s="50">
        <v>0.90728156461460985</v>
      </c>
    </row>
    <row r="79" spans="1:16" ht="14.25" customHeight="1" x14ac:dyDescent="0.25">
      <c r="A79" s="44" t="s">
        <v>38</v>
      </c>
      <c r="B79" s="45" t="s">
        <v>83</v>
      </c>
      <c r="C79" s="46" t="s">
        <v>86</v>
      </c>
      <c r="D79" s="47">
        <v>13500</v>
      </c>
      <c r="E79" s="47">
        <v>0</v>
      </c>
      <c r="F79" s="47">
        <v>13500</v>
      </c>
      <c r="G79" s="47">
        <v>0</v>
      </c>
      <c r="H79" s="47">
        <v>0</v>
      </c>
      <c r="I79" s="47">
        <v>0</v>
      </c>
      <c r="J79" s="47">
        <v>13500</v>
      </c>
      <c r="K79" s="49">
        <v>0</v>
      </c>
      <c r="L79" s="47">
        <v>0</v>
      </c>
      <c r="M79" s="47">
        <v>13500</v>
      </c>
      <c r="N79" s="47">
        <v>13500</v>
      </c>
      <c r="O79" s="47">
        <v>0</v>
      </c>
      <c r="P79" s="50">
        <v>1</v>
      </c>
    </row>
    <row r="80" spans="1:16" ht="14.25" customHeight="1" x14ac:dyDescent="0.25">
      <c r="A80" s="44" t="s">
        <v>38</v>
      </c>
      <c r="B80" s="45" t="s">
        <v>83</v>
      </c>
      <c r="C80" s="46" t="s">
        <v>87</v>
      </c>
      <c r="D80" s="47">
        <v>1184877</v>
      </c>
      <c r="E80" s="47">
        <v>0</v>
      </c>
      <c r="F80" s="47">
        <v>1184877</v>
      </c>
      <c r="G80" s="47">
        <v>156285.25</v>
      </c>
      <c r="H80" s="47">
        <v>0</v>
      </c>
      <c r="I80" s="47">
        <v>156285.25</v>
      </c>
      <c r="J80" s="47">
        <v>1028591.75</v>
      </c>
      <c r="K80" s="49">
        <v>0.13189997780360324</v>
      </c>
      <c r="L80" s="47">
        <v>1230890.513333</v>
      </c>
      <c r="M80" s="48">
        <v>-128133</v>
      </c>
      <c r="N80" s="47">
        <v>1102757.513333</v>
      </c>
      <c r="O80" s="47">
        <v>82119.486667000005</v>
      </c>
      <c r="P80" s="50">
        <v>0.93069366131083653</v>
      </c>
    </row>
    <row r="81" spans="1:16" ht="14.25" customHeight="1" x14ac:dyDescent="0.25">
      <c r="A81" s="44" t="s">
        <v>38</v>
      </c>
      <c r="B81" s="45" t="s">
        <v>83</v>
      </c>
      <c r="C81" s="46" t="s">
        <v>88</v>
      </c>
      <c r="D81" s="47">
        <v>8162</v>
      </c>
      <c r="E81" s="47">
        <v>0</v>
      </c>
      <c r="F81" s="47">
        <v>8162</v>
      </c>
      <c r="G81" s="47">
        <v>0</v>
      </c>
      <c r="H81" s="47">
        <v>0</v>
      </c>
      <c r="I81" s="47">
        <v>0</v>
      </c>
      <c r="J81" s="47">
        <v>8162</v>
      </c>
      <c r="K81" s="49">
        <v>0</v>
      </c>
      <c r="L81" s="47">
        <v>0</v>
      </c>
      <c r="M81" s="47">
        <v>8162</v>
      </c>
      <c r="N81" s="47">
        <v>8162</v>
      </c>
      <c r="O81" s="47">
        <v>0</v>
      </c>
      <c r="P81" s="50">
        <v>1</v>
      </c>
    </row>
    <row r="82" spans="1:16" ht="14.25" customHeight="1" x14ac:dyDescent="0.25">
      <c r="A82" s="44" t="s">
        <v>38</v>
      </c>
      <c r="B82" s="45" t="s">
        <v>83</v>
      </c>
      <c r="C82" s="46" t="s">
        <v>89</v>
      </c>
      <c r="D82" s="47">
        <v>442444</v>
      </c>
      <c r="E82" s="47">
        <v>0</v>
      </c>
      <c r="F82" s="47">
        <v>442444</v>
      </c>
      <c r="G82" s="47">
        <v>17520.259999999998</v>
      </c>
      <c r="H82" s="47">
        <v>0</v>
      </c>
      <c r="I82" s="47">
        <v>17520.259999999998</v>
      </c>
      <c r="J82" s="47">
        <v>424923.74</v>
      </c>
      <c r="K82" s="49">
        <v>3.9598819285604506E-2</v>
      </c>
      <c r="L82" s="47">
        <v>330139.40999800002</v>
      </c>
      <c r="M82" s="47">
        <v>0</v>
      </c>
      <c r="N82" s="47">
        <v>330139.40999800002</v>
      </c>
      <c r="O82" s="47">
        <v>112304.590002</v>
      </c>
      <c r="P82" s="50">
        <v>0.7461721935386173</v>
      </c>
    </row>
    <row r="83" spans="1:16" ht="14.25" customHeight="1" x14ac:dyDescent="0.25">
      <c r="A83" s="44" t="s">
        <v>38</v>
      </c>
      <c r="B83" s="45" t="s">
        <v>83</v>
      </c>
      <c r="C83" s="46" t="s">
        <v>90</v>
      </c>
      <c r="D83" s="47">
        <v>64255</v>
      </c>
      <c r="E83" s="47">
        <v>0</v>
      </c>
      <c r="F83" s="47">
        <v>64255</v>
      </c>
      <c r="G83" s="47">
        <v>0</v>
      </c>
      <c r="H83" s="47">
        <v>0</v>
      </c>
      <c r="I83" s="47">
        <v>0</v>
      </c>
      <c r="J83" s="47">
        <v>64255</v>
      </c>
      <c r="K83" s="49">
        <v>0</v>
      </c>
      <c r="L83" s="47">
        <v>0</v>
      </c>
      <c r="M83" s="47">
        <v>63000</v>
      </c>
      <c r="N83" s="47">
        <v>63000</v>
      </c>
      <c r="O83" s="47">
        <v>1255</v>
      </c>
      <c r="P83" s="50">
        <v>0.98046844603532801</v>
      </c>
    </row>
    <row r="84" spans="1:16" ht="14.25" customHeight="1" x14ac:dyDescent="0.25">
      <c r="A84" s="44" t="s">
        <v>38</v>
      </c>
      <c r="B84" s="45" t="s">
        <v>83</v>
      </c>
      <c r="C84" s="46" t="s">
        <v>91</v>
      </c>
      <c r="D84" s="47">
        <v>0</v>
      </c>
      <c r="E84" s="47">
        <v>721655</v>
      </c>
      <c r="F84" s="47">
        <v>721655</v>
      </c>
      <c r="G84" s="47">
        <v>4887.3999999999996</v>
      </c>
      <c r="H84" s="47">
        <v>0</v>
      </c>
      <c r="I84" s="47">
        <v>4887.3999999999996</v>
      </c>
      <c r="J84" s="47">
        <v>716767.6</v>
      </c>
      <c r="K84" s="49">
        <v>6.772488238839889E-3</v>
      </c>
      <c r="L84" s="47">
        <v>9314.0199990000001</v>
      </c>
      <c r="M84" s="47">
        <v>0</v>
      </c>
      <c r="N84" s="47">
        <v>9314.0199990000001</v>
      </c>
      <c r="O84" s="47">
        <v>712340.98000099999</v>
      </c>
      <c r="P84" s="50">
        <v>1.2906471927721696E-2</v>
      </c>
    </row>
    <row r="85" spans="1:16" ht="14.25" customHeight="1" x14ac:dyDescent="0.25">
      <c r="A85" s="44" t="s">
        <v>38</v>
      </c>
      <c r="B85" s="45" t="s">
        <v>102</v>
      </c>
      <c r="C85" s="46" t="s">
        <v>103</v>
      </c>
      <c r="D85" s="47">
        <v>367000</v>
      </c>
      <c r="E85" s="47">
        <v>0</v>
      </c>
      <c r="F85" s="47">
        <v>367000</v>
      </c>
      <c r="G85" s="47">
        <v>12118.67</v>
      </c>
      <c r="H85" s="47">
        <v>0</v>
      </c>
      <c r="I85" s="47">
        <v>12118.67</v>
      </c>
      <c r="J85" s="47">
        <v>354881.33</v>
      </c>
      <c r="K85" s="49">
        <v>3.3020899182561306E-2</v>
      </c>
      <c r="L85" s="47">
        <v>25126.316665999999</v>
      </c>
      <c r="M85" s="47">
        <v>327977</v>
      </c>
      <c r="N85" s="47">
        <v>353103.316666</v>
      </c>
      <c r="O85" s="47">
        <v>13896.683333999999</v>
      </c>
      <c r="P85" s="50">
        <v>0.96213437783651223</v>
      </c>
    </row>
    <row r="86" spans="1:16" ht="14.25" customHeight="1" x14ac:dyDescent="0.25">
      <c r="A86" s="44" t="s">
        <v>38</v>
      </c>
      <c r="B86" s="45" t="s">
        <v>15</v>
      </c>
      <c r="C86" s="46" t="s">
        <v>92</v>
      </c>
      <c r="D86" s="47">
        <v>879583</v>
      </c>
      <c r="E86" s="47">
        <v>0</v>
      </c>
      <c r="F86" s="47">
        <v>879583</v>
      </c>
      <c r="G86" s="47">
        <v>188606.01</v>
      </c>
      <c r="H86" s="47">
        <v>17460</v>
      </c>
      <c r="I86" s="47">
        <v>206066.01</v>
      </c>
      <c r="J86" s="47">
        <v>673516.99</v>
      </c>
      <c r="K86" s="49">
        <v>0.23427693577524805</v>
      </c>
      <c r="L86" s="47">
        <v>842960.07333200006</v>
      </c>
      <c r="M86" s="47">
        <v>19000</v>
      </c>
      <c r="N86" s="47">
        <v>861960.07333200006</v>
      </c>
      <c r="O86" s="47">
        <v>162.92666800000001</v>
      </c>
      <c r="P86" s="50">
        <v>0.99981476828451665</v>
      </c>
    </row>
    <row r="87" spans="1:16" ht="14.25" customHeight="1" x14ac:dyDescent="0.25">
      <c r="A87" s="44" t="s">
        <v>38</v>
      </c>
      <c r="B87" s="45" t="s">
        <v>15</v>
      </c>
      <c r="C87" s="46" t="s">
        <v>93</v>
      </c>
      <c r="D87" s="47">
        <v>98792</v>
      </c>
      <c r="E87" s="47">
        <v>0</v>
      </c>
      <c r="F87" s="47">
        <v>98792</v>
      </c>
      <c r="G87" s="47">
        <v>21700.44</v>
      </c>
      <c r="H87" s="47">
        <v>10625</v>
      </c>
      <c r="I87" s="47">
        <v>32325.439999999999</v>
      </c>
      <c r="J87" s="47">
        <v>66466.559999999998</v>
      </c>
      <c r="K87" s="49">
        <v>0.32720706130051014</v>
      </c>
      <c r="L87" s="47">
        <v>93575.47</v>
      </c>
      <c r="M87" s="47">
        <v>0</v>
      </c>
      <c r="N87" s="47">
        <v>93575.47</v>
      </c>
      <c r="O87" s="48">
        <v>-5408.47</v>
      </c>
      <c r="P87" s="50">
        <v>1.0547460320673738</v>
      </c>
    </row>
    <row r="88" spans="1:16" ht="14.25" customHeight="1" x14ac:dyDescent="0.25">
      <c r="A88" s="44" t="s">
        <v>38</v>
      </c>
      <c r="B88" s="45" t="s">
        <v>15</v>
      </c>
      <c r="C88" s="46" t="s">
        <v>94</v>
      </c>
      <c r="D88" s="47">
        <v>201400</v>
      </c>
      <c r="E88" s="47">
        <v>0</v>
      </c>
      <c r="F88" s="47">
        <v>201400</v>
      </c>
      <c r="G88" s="47">
        <v>35845.79</v>
      </c>
      <c r="H88" s="47">
        <v>774.03</v>
      </c>
      <c r="I88" s="47">
        <v>36619.82</v>
      </c>
      <c r="J88" s="47">
        <v>164780.18</v>
      </c>
      <c r="K88" s="49">
        <v>0.1818263157894737</v>
      </c>
      <c r="L88" s="47">
        <v>45096.35</v>
      </c>
      <c r="M88" s="47">
        <v>160000</v>
      </c>
      <c r="N88" s="47">
        <v>205096.35</v>
      </c>
      <c r="O88" s="48">
        <v>-4470.38</v>
      </c>
      <c r="P88" s="50">
        <v>1.0221965243296922</v>
      </c>
    </row>
    <row r="89" spans="1:16" ht="14.25" customHeight="1" x14ac:dyDescent="0.25">
      <c r="A89" s="44" t="s">
        <v>38</v>
      </c>
      <c r="B89" s="45" t="s">
        <v>120</v>
      </c>
      <c r="C89" s="46" t="s">
        <v>121</v>
      </c>
      <c r="D89" s="47">
        <v>74713</v>
      </c>
      <c r="E89" s="47">
        <v>0</v>
      </c>
      <c r="F89" s="47">
        <v>74713</v>
      </c>
      <c r="G89" s="47">
        <v>20676.21</v>
      </c>
      <c r="H89" s="47">
        <v>15956.68</v>
      </c>
      <c r="I89" s="47">
        <v>36632.89</v>
      </c>
      <c r="J89" s="47">
        <v>38080.11</v>
      </c>
      <c r="K89" s="49">
        <v>0.49031480465247013</v>
      </c>
      <c r="L89" s="47">
        <v>55066.53</v>
      </c>
      <c r="M89" s="47">
        <v>20000</v>
      </c>
      <c r="N89" s="47">
        <v>75066.53</v>
      </c>
      <c r="O89" s="48">
        <v>-16310.21</v>
      </c>
      <c r="P89" s="50">
        <v>1.2183048465461164</v>
      </c>
    </row>
    <row r="90" spans="1:16" ht="14.25" customHeight="1" x14ac:dyDescent="0.25">
      <c r="A90" s="44" t="s">
        <v>38</v>
      </c>
      <c r="B90" s="45" t="s">
        <v>120</v>
      </c>
      <c r="C90" s="46" t="s">
        <v>122</v>
      </c>
      <c r="D90" s="47">
        <v>969000</v>
      </c>
      <c r="E90" s="47">
        <v>0</v>
      </c>
      <c r="F90" s="47">
        <v>969000</v>
      </c>
      <c r="G90" s="47">
        <v>116755.62</v>
      </c>
      <c r="H90" s="47">
        <v>3473.3</v>
      </c>
      <c r="I90" s="47">
        <v>120228.92</v>
      </c>
      <c r="J90" s="47">
        <v>848771.08</v>
      </c>
      <c r="K90" s="49">
        <v>0.1240752528379773</v>
      </c>
      <c r="L90" s="47">
        <v>516414.89666500001</v>
      </c>
      <c r="M90" s="47">
        <v>200000</v>
      </c>
      <c r="N90" s="47">
        <v>716414.89666500001</v>
      </c>
      <c r="O90" s="47">
        <v>249111.803335</v>
      </c>
      <c r="P90" s="50">
        <v>0.74291867560887515</v>
      </c>
    </row>
    <row r="91" spans="1:16" ht="14.25" customHeight="1" x14ac:dyDescent="0.25">
      <c r="A91" s="44" t="s">
        <v>38</v>
      </c>
      <c r="B91" s="45" t="s">
        <v>113</v>
      </c>
      <c r="C91" s="46" t="s">
        <v>115</v>
      </c>
      <c r="D91" s="47">
        <v>30000</v>
      </c>
      <c r="E91" s="47">
        <v>0</v>
      </c>
      <c r="F91" s="47">
        <v>30000</v>
      </c>
      <c r="G91" s="47">
        <v>9500</v>
      </c>
      <c r="H91" s="47">
        <v>0</v>
      </c>
      <c r="I91" s="47">
        <v>9500</v>
      </c>
      <c r="J91" s="47">
        <v>20500</v>
      </c>
      <c r="K91" s="49">
        <v>0.31666666666666665</v>
      </c>
      <c r="L91" s="47">
        <v>22000</v>
      </c>
      <c r="M91" s="47">
        <v>0</v>
      </c>
      <c r="N91" s="47">
        <v>22000</v>
      </c>
      <c r="O91" s="47">
        <v>8000</v>
      </c>
      <c r="P91" s="50">
        <v>0.73333333333333328</v>
      </c>
    </row>
    <row r="92" spans="1:16" ht="14.25" customHeight="1" x14ac:dyDescent="0.25">
      <c r="A92" s="44" t="s">
        <v>38</v>
      </c>
      <c r="B92" s="45" t="s">
        <v>113</v>
      </c>
      <c r="C92" s="46" t="s">
        <v>116</v>
      </c>
      <c r="D92" s="47">
        <v>756000</v>
      </c>
      <c r="E92" s="47">
        <v>200227</v>
      </c>
      <c r="F92" s="47">
        <v>956227</v>
      </c>
      <c r="G92" s="47">
        <v>174639.68</v>
      </c>
      <c r="H92" s="47">
        <v>16033</v>
      </c>
      <c r="I92" s="47">
        <v>190672.68</v>
      </c>
      <c r="J92" s="47">
        <v>765554.32</v>
      </c>
      <c r="K92" s="49">
        <v>0.19940106271837127</v>
      </c>
      <c r="L92" s="47">
        <v>631349.61333299999</v>
      </c>
      <c r="M92" s="47">
        <v>0</v>
      </c>
      <c r="N92" s="47">
        <v>631349.61333299999</v>
      </c>
      <c r="O92" s="47">
        <v>308844.38666700001</v>
      </c>
      <c r="P92" s="50">
        <v>0.67701770953235996</v>
      </c>
    </row>
    <row r="93" spans="1:16" ht="14.25" customHeight="1" x14ac:dyDescent="0.25">
      <c r="A93" s="44" t="s">
        <v>38</v>
      </c>
      <c r="B93" s="45" t="s">
        <v>113</v>
      </c>
      <c r="C93" s="46" t="s">
        <v>117</v>
      </c>
      <c r="D93" s="47">
        <v>100000</v>
      </c>
      <c r="E93" s="47">
        <v>313770</v>
      </c>
      <c r="F93" s="47">
        <v>413770</v>
      </c>
      <c r="G93" s="47">
        <v>5669.94</v>
      </c>
      <c r="H93" s="47">
        <v>0</v>
      </c>
      <c r="I93" s="47">
        <v>5669.94</v>
      </c>
      <c r="J93" s="47">
        <v>408100.06</v>
      </c>
      <c r="K93" s="49">
        <v>1.370312009087174E-2</v>
      </c>
      <c r="L93" s="47">
        <v>6504.6633330000004</v>
      </c>
      <c r="M93" s="47">
        <v>80000</v>
      </c>
      <c r="N93" s="47">
        <v>86504.663333000004</v>
      </c>
      <c r="O93" s="47">
        <v>327265.33666700003</v>
      </c>
      <c r="P93" s="50">
        <v>0.20906460916209488</v>
      </c>
    </row>
    <row r="94" spans="1:16" ht="14.25" customHeight="1" x14ac:dyDescent="0.25">
      <c r="A94" s="44" t="s">
        <v>38</v>
      </c>
      <c r="B94" s="45" t="s">
        <v>113</v>
      </c>
      <c r="C94" s="46" t="s">
        <v>118</v>
      </c>
      <c r="D94" s="47">
        <v>75000</v>
      </c>
      <c r="E94" s="47">
        <v>43263</v>
      </c>
      <c r="F94" s="47">
        <v>118263</v>
      </c>
      <c r="G94" s="47">
        <v>0</v>
      </c>
      <c r="H94" s="47">
        <v>0</v>
      </c>
      <c r="I94" s="47">
        <v>0</v>
      </c>
      <c r="J94" s="47">
        <v>118263</v>
      </c>
      <c r="K94" s="49">
        <v>0</v>
      </c>
      <c r="L94" s="47">
        <v>0</v>
      </c>
      <c r="M94" s="47">
        <v>75000</v>
      </c>
      <c r="N94" s="47">
        <v>75000</v>
      </c>
      <c r="O94" s="47">
        <v>43263</v>
      </c>
      <c r="P94" s="50">
        <v>0.6341797519088811</v>
      </c>
    </row>
    <row r="95" spans="1:16" ht="14.25" customHeight="1" x14ac:dyDescent="0.25">
      <c r="A95" s="44" t="s">
        <v>38</v>
      </c>
      <c r="B95" s="45" t="s">
        <v>113</v>
      </c>
      <c r="C95" s="46" t="s">
        <v>119</v>
      </c>
      <c r="D95" s="47">
        <v>2000</v>
      </c>
      <c r="E95" s="47">
        <v>0</v>
      </c>
      <c r="F95" s="47">
        <v>2000</v>
      </c>
      <c r="G95" s="47">
        <v>0</v>
      </c>
      <c r="H95" s="47">
        <v>0</v>
      </c>
      <c r="I95" s="47">
        <v>0</v>
      </c>
      <c r="J95" s="47">
        <v>2000</v>
      </c>
      <c r="K95" s="49">
        <v>0</v>
      </c>
      <c r="L95" s="47">
        <v>0</v>
      </c>
      <c r="M95" s="47">
        <v>0</v>
      </c>
      <c r="N95" s="47">
        <v>0</v>
      </c>
      <c r="O95" s="47">
        <v>2000</v>
      </c>
      <c r="P95" s="50">
        <v>0</v>
      </c>
    </row>
    <row r="96" spans="1:16" ht="14.25" customHeight="1" x14ac:dyDescent="0.25">
      <c r="A96" s="44" t="s">
        <v>38</v>
      </c>
      <c r="B96" s="45" t="s">
        <v>80</v>
      </c>
      <c r="C96" s="46" t="s">
        <v>81</v>
      </c>
      <c r="D96" s="47">
        <v>292558</v>
      </c>
      <c r="E96" s="47">
        <v>0</v>
      </c>
      <c r="F96" s="47">
        <v>292558</v>
      </c>
      <c r="G96" s="47">
        <v>170481.41</v>
      </c>
      <c r="H96" s="47">
        <v>73440</v>
      </c>
      <c r="I96" s="47">
        <v>243921.41</v>
      </c>
      <c r="J96" s="47">
        <v>48636.59</v>
      </c>
      <c r="K96" s="49">
        <v>0.83375402484293715</v>
      </c>
      <c r="L96" s="47">
        <v>370302.49999899999</v>
      </c>
      <c r="M96" s="47">
        <v>0</v>
      </c>
      <c r="N96" s="47">
        <v>370302.49999899999</v>
      </c>
      <c r="O96" s="48">
        <v>-151184.49999899999</v>
      </c>
      <c r="P96" s="50">
        <v>1.5167676153070502</v>
      </c>
    </row>
    <row r="97" spans="1:16" ht="14.25" customHeight="1" x14ac:dyDescent="0.25">
      <c r="A97" s="44" t="s">
        <v>38</v>
      </c>
      <c r="B97" s="45" t="s">
        <v>80</v>
      </c>
      <c r="C97" s="46" t="s">
        <v>82</v>
      </c>
      <c r="D97" s="47">
        <v>97250</v>
      </c>
      <c r="E97" s="47">
        <v>0</v>
      </c>
      <c r="F97" s="47">
        <v>97250</v>
      </c>
      <c r="G97" s="47">
        <v>42688.44</v>
      </c>
      <c r="H97" s="47">
        <v>188917.81</v>
      </c>
      <c r="I97" s="47">
        <v>231606.25</v>
      </c>
      <c r="J97" s="48">
        <v>-134356.25</v>
      </c>
      <c r="K97" s="49">
        <v>2.3815552699228792</v>
      </c>
      <c r="L97" s="47">
        <v>86497.486667000005</v>
      </c>
      <c r="M97" s="47">
        <v>180000</v>
      </c>
      <c r="N97" s="47">
        <v>266497.48666699999</v>
      </c>
      <c r="O97" s="48">
        <v>-358165.29666699999</v>
      </c>
      <c r="P97" s="50">
        <v>4.6829336418200516</v>
      </c>
    </row>
    <row r="98" spans="1:16" ht="14.25" customHeight="1" x14ac:dyDescent="0.25">
      <c r="A98" s="55"/>
    </row>
    <row r="99" spans="1:16" ht="14.25" customHeight="1" x14ac:dyDescent="0.25"/>
    <row r="100" spans="1:16" ht="14.25" customHeight="1" x14ac:dyDescent="0.25"/>
    <row r="101" spans="1:16" ht="14.25" customHeight="1" x14ac:dyDescent="0.25"/>
    <row r="102" spans="1:16" ht="14.25" customHeight="1" x14ac:dyDescent="0.25"/>
    <row r="103" spans="1:16" ht="14.25" customHeight="1" x14ac:dyDescent="0.25"/>
    <row r="104" spans="1:16" ht="14.25" customHeight="1" x14ac:dyDescent="0.25"/>
    <row r="105" spans="1:16" ht="14.25" customHeight="1" x14ac:dyDescent="0.25"/>
    <row r="106" spans="1:16" ht="14.25" customHeight="1" x14ac:dyDescent="0.25"/>
    <row r="107" spans="1:16" ht="14.25" customHeight="1" x14ac:dyDescent="0.25"/>
    <row r="108" spans="1:16" ht="14.25" customHeight="1" x14ac:dyDescent="0.25"/>
    <row r="109" spans="1:16" ht="14.25" customHeight="1" x14ac:dyDescent="0.25"/>
    <row r="110" spans="1:16" ht="14.25" customHeight="1" x14ac:dyDescent="0.25"/>
    <row r="111" spans="1:16" ht="14.25" customHeight="1" x14ac:dyDescent="0.25"/>
    <row r="112" spans="1:16"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F66C0-D01D-4B53-94CA-270919DBA89F}">
  <dimension ref="A1:S1000"/>
  <sheetViews>
    <sheetView topLeftCell="A60" workbookViewId="0">
      <selection activeCell="A4" sqref="A4:A97"/>
    </sheetView>
  </sheetViews>
  <sheetFormatPr defaultColWidth="14.42578125" defaultRowHeight="15" customHeight="1" x14ac:dyDescent="0.25"/>
  <cols>
    <col min="1" max="1" width="13.85546875" customWidth="1"/>
    <col min="2" max="2" width="25.7109375" customWidth="1"/>
    <col min="3" max="3" width="34.7109375" customWidth="1"/>
    <col min="4" max="4" width="10.7109375" customWidth="1"/>
    <col min="5" max="5" width="9.140625" customWidth="1"/>
    <col min="6" max="6" width="10.140625" customWidth="1"/>
    <col min="7" max="7" width="8.42578125" customWidth="1"/>
    <col min="8" max="8" width="9.42578125" customWidth="1"/>
    <col min="9" max="10" width="10.42578125" customWidth="1"/>
    <col min="11" max="11" width="7.85546875" customWidth="1"/>
    <col min="12" max="12" width="11.140625" customWidth="1"/>
    <col min="13" max="13" width="14.140625" customWidth="1"/>
    <col min="14" max="14" width="10.28515625" customWidth="1"/>
    <col min="15" max="15" width="9" customWidth="1"/>
    <col min="16" max="16" width="8.42578125" customWidth="1"/>
    <col min="17" max="17" width="8.7109375" customWidth="1"/>
    <col min="18" max="18" width="10.85546875" customWidth="1"/>
    <col min="19" max="19" width="10.28515625" customWidth="1"/>
    <col min="20" max="26" width="8.7109375" customWidth="1"/>
  </cols>
  <sheetData>
    <row r="1" spans="1:16" ht="14.25" customHeight="1" x14ac:dyDescent="0.25"/>
    <row r="2" spans="1:16" ht="14.25" customHeight="1" x14ac:dyDescent="0.25"/>
    <row r="3" spans="1:16" ht="14.25" customHeight="1" x14ac:dyDescent="0.25">
      <c r="A3" s="86" t="s">
        <v>35</v>
      </c>
      <c r="B3" s="87" t="s">
        <v>36</v>
      </c>
      <c r="C3" s="87" t="s">
        <v>37</v>
      </c>
      <c r="D3" s="88" t="s">
        <v>130</v>
      </c>
      <c r="E3" s="88" t="s">
        <v>131</v>
      </c>
      <c r="F3" s="88" t="s">
        <v>132</v>
      </c>
      <c r="G3" s="88" t="s">
        <v>133</v>
      </c>
      <c r="H3" s="88" t="s">
        <v>134</v>
      </c>
      <c r="I3" s="88" t="s">
        <v>135</v>
      </c>
      <c r="J3" s="88" t="s">
        <v>136</v>
      </c>
      <c r="K3" s="88" t="s">
        <v>137</v>
      </c>
      <c r="L3" s="88" t="s">
        <v>138</v>
      </c>
      <c r="M3" s="88" t="s">
        <v>139</v>
      </c>
      <c r="N3" s="88" t="s">
        <v>140</v>
      </c>
      <c r="O3" s="88" t="s">
        <v>141</v>
      </c>
      <c r="P3" s="88" t="s">
        <v>142</v>
      </c>
    </row>
    <row r="4" spans="1:16" ht="14.25" customHeight="1" x14ac:dyDescent="0.25">
      <c r="A4" s="44" t="s">
        <v>43</v>
      </c>
      <c r="B4" s="45" t="s">
        <v>143</v>
      </c>
      <c r="C4" s="46" t="s">
        <v>61</v>
      </c>
      <c r="D4" s="47">
        <v>90000</v>
      </c>
      <c r="E4" s="47">
        <v>0</v>
      </c>
      <c r="F4" s="47">
        <v>90000</v>
      </c>
      <c r="G4" s="47">
        <v>28700.799999999999</v>
      </c>
      <c r="H4" s="47">
        <v>0</v>
      </c>
      <c r="I4" s="47">
        <v>28700.799999999999</v>
      </c>
      <c r="J4" s="48">
        <v>-61299.199999999997</v>
      </c>
      <c r="K4" s="49">
        <v>0.31889777777777778</v>
      </c>
      <c r="L4" s="47">
        <v>89550.5</v>
      </c>
      <c r="M4" s="47">
        <v>0</v>
      </c>
      <c r="N4" s="47">
        <v>89550.5</v>
      </c>
      <c r="O4" s="48">
        <v>-449.5</v>
      </c>
      <c r="P4" s="50">
        <v>0.99500555555555559</v>
      </c>
    </row>
    <row r="5" spans="1:16" ht="14.25" customHeight="1" x14ac:dyDescent="0.25">
      <c r="A5" s="44" t="s">
        <v>43</v>
      </c>
      <c r="B5" s="45" t="s">
        <v>143</v>
      </c>
      <c r="C5" s="46" t="s">
        <v>62</v>
      </c>
      <c r="D5" s="47">
        <v>27300</v>
      </c>
      <c r="E5" s="47">
        <v>0</v>
      </c>
      <c r="F5" s="47">
        <v>27300</v>
      </c>
      <c r="G5" s="47">
        <v>417.5</v>
      </c>
      <c r="H5" s="47">
        <v>0</v>
      </c>
      <c r="I5" s="47">
        <v>417.5</v>
      </c>
      <c r="J5" s="48">
        <v>-26882.5</v>
      </c>
      <c r="K5" s="49">
        <v>1.5293040293040292E-2</v>
      </c>
      <c r="L5" s="47">
        <v>6334.85</v>
      </c>
      <c r="M5" s="47">
        <v>0</v>
      </c>
      <c r="N5" s="47">
        <v>6334.85</v>
      </c>
      <c r="O5" s="48">
        <v>-20965.150000000001</v>
      </c>
      <c r="P5" s="50">
        <v>0.23204578754578756</v>
      </c>
    </row>
    <row r="6" spans="1:16" ht="14.25" customHeight="1" x14ac:dyDescent="0.25">
      <c r="A6" s="44" t="s">
        <v>43</v>
      </c>
      <c r="B6" s="45" t="s">
        <v>143</v>
      </c>
      <c r="C6" s="46" t="s">
        <v>63</v>
      </c>
      <c r="D6" s="47">
        <v>5000</v>
      </c>
      <c r="E6" s="47">
        <v>0</v>
      </c>
      <c r="F6" s="47">
        <v>5000</v>
      </c>
      <c r="G6" s="47">
        <v>137.5</v>
      </c>
      <c r="H6" s="47">
        <v>0</v>
      </c>
      <c r="I6" s="47">
        <v>137.5</v>
      </c>
      <c r="J6" s="48">
        <v>-4862.5</v>
      </c>
      <c r="K6" s="49">
        <v>2.75E-2</v>
      </c>
      <c r="L6" s="47">
        <v>895.44</v>
      </c>
      <c r="M6" s="47">
        <v>0</v>
      </c>
      <c r="N6" s="47">
        <v>895.44</v>
      </c>
      <c r="O6" s="48">
        <v>-4104.5600000000004</v>
      </c>
      <c r="P6" s="50">
        <v>0.179088</v>
      </c>
    </row>
    <row r="7" spans="1:16" ht="14.25" customHeight="1" x14ac:dyDescent="0.25">
      <c r="A7" s="44" t="s">
        <v>43</v>
      </c>
      <c r="B7" s="45" t="s">
        <v>143</v>
      </c>
      <c r="C7" s="46" t="s">
        <v>64</v>
      </c>
      <c r="D7" s="47">
        <v>6000</v>
      </c>
      <c r="E7" s="47">
        <v>0</v>
      </c>
      <c r="F7" s="47">
        <v>6000</v>
      </c>
      <c r="G7" s="47">
        <v>37.5</v>
      </c>
      <c r="H7" s="47">
        <v>0</v>
      </c>
      <c r="I7" s="47">
        <v>37.5</v>
      </c>
      <c r="J7" s="48">
        <v>-5962.5</v>
      </c>
      <c r="K7" s="49">
        <v>6.2500000000000003E-3</v>
      </c>
      <c r="L7" s="47">
        <v>1182.7733330000001</v>
      </c>
      <c r="M7" s="47">
        <v>0</v>
      </c>
      <c r="N7" s="47">
        <v>1182.7733330000001</v>
      </c>
      <c r="O7" s="48">
        <v>-4817.2266669999999</v>
      </c>
      <c r="P7" s="50">
        <v>0.19712888883333332</v>
      </c>
    </row>
    <row r="8" spans="1:16" ht="14.25" customHeight="1" x14ac:dyDescent="0.25">
      <c r="A8" s="44" t="s">
        <v>43</v>
      </c>
      <c r="B8" s="45" t="s">
        <v>143</v>
      </c>
      <c r="C8" s="46" t="s">
        <v>65</v>
      </c>
      <c r="D8" s="47">
        <v>11000</v>
      </c>
      <c r="E8" s="47">
        <v>0</v>
      </c>
      <c r="F8" s="47">
        <v>11000</v>
      </c>
      <c r="G8" s="47">
        <v>330</v>
      </c>
      <c r="H8" s="47">
        <v>0</v>
      </c>
      <c r="I8" s="47">
        <v>330</v>
      </c>
      <c r="J8" s="48">
        <v>-10670</v>
      </c>
      <c r="K8" s="49">
        <v>0.03</v>
      </c>
      <c r="L8" s="47">
        <v>4004.556666</v>
      </c>
      <c r="M8" s="47">
        <v>0</v>
      </c>
      <c r="N8" s="47">
        <v>4004.556666</v>
      </c>
      <c r="O8" s="48">
        <v>-6995.4433339999996</v>
      </c>
      <c r="P8" s="50">
        <v>0.364050606</v>
      </c>
    </row>
    <row r="9" spans="1:16" ht="14.25" customHeight="1" x14ac:dyDescent="0.25">
      <c r="A9" s="44" t="s">
        <v>43</v>
      </c>
      <c r="B9" s="45" t="s">
        <v>143</v>
      </c>
      <c r="C9" s="46" t="s">
        <v>66</v>
      </c>
      <c r="D9" s="47">
        <v>10000</v>
      </c>
      <c r="E9" s="47">
        <v>0</v>
      </c>
      <c r="F9" s="47">
        <v>10000</v>
      </c>
      <c r="G9" s="47">
        <v>200</v>
      </c>
      <c r="H9" s="47">
        <v>0</v>
      </c>
      <c r="I9" s="47">
        <v>200</v>
      </c>
      <c r="J9" s="48">
        <v>-9800</v>
      </c>
      <c r="K9" s="49">
        <v>0.02</v>
      </c>
      <c r="L9" s="47">
        <v>9622.41</v>
      </c>
      <c r="M9" s="47">
        <v>0</v>
      </c>
      <c r="N9" s="47">
        <v>9622.41</v>
      </c>
      <c r="O9" s="48">
        <v>-377.59</v>
      </c>
      <c r="P9" s="50">
        <v>0.96224100000000001</v>
      </c>
    </row>
    <row r="10" spans="1:16" ht="14.25" customHeight="1" x14ac:dyDescent="0.25">
      <c r="A10" s="44" t="s">
        <v>43</v>
      </c>
      <c r="B10" s="45" t="s">
        <v>143</v>
      </c>
      <c r="C10" s="46" t="s">
        <v>67</v>
      </c>
      <c r="D10" s="47">
        <v>19000</v>
      </c>
      <c r="E10" s="47">
        <v>0</v>
      </c>
      <c r="F10" s="47">
        <v>19000</v>
      </c>
      <c r="G10" s="47">
        <v>250</v>
      </c>
      <c r="H10" s="47">
        <v>0</v>
      </c>
      <c r="I10" s="47">
        <v>250</v>
      </c>
      <c r="J10" s="48">
        <v>-18750</v>
      </c>
      <c r="K10" s="49">
        <v>1.3157894736842105E-2</v>
      </c>
      <c r="L10" s="47">
        <v>475</v>
      </c>
      <c r="M10" s="47">
        <v>0</v>
      </c>
      <c r="N10" s="47">
        <v>475</v>
      </c>
      <c r="O10" s="48">
        <v>-18525</v>
      </c>
      <c r="P10" s="50">
        <v>2.5000000000000001E-2</v>
      </c>
    </row>
    <row r="11" spans="1:16" ht="14.25" customHeight="1" x14ac:dyDescent="0.25">
      <c r="A11" s="44" t="s">
        <v>43</v>
      </c>
      <c r="B11" s="45" t="s">
        <v>143</v>
      </c>
      <c r="C11" s="46" t="s">
        <v>68</v>
      </c>
      <c r="D11" s="47">
        <v>6000</v>
      </c>
      <c r="E11" s="47">
        <v>0</v>
      </c>
      <c r="F11" s="47">
        <v>6000</v>
      </c>
      <c r="G11" s="47">
        <v>1620</v>
      </c>
      <c r="H11" s="47">
        <v>0</v>
      </c>
      <c r="I11" s="47">
        <v>1620</v>
      </c>
      <c r="J11" s="48">
        <v>-4380</v>
      </c>
      <c r="K11" s="49">
        <v>0.27</v>
      </c>
      <c r="L11" s="47">
        <v>3350.6866660000001</v>
      </c>
      <c r="M11" s="47">
        <v>0</v>
      </c>
      <c r="N11" s="47">
        <v>3350.6866660000001</v>
      </c>
      <c r="O11" s="48">
        <v>-2649.3133339999999</v>
      </c>
      <c r="P11" s="50">
        <v>0.55844777766666664</v>
      </c>
    </row>
    <row r="12" spans="1:16" ht="14.25" customHeight="1" x14ac:dyDescent="0.25">
      <c r="A12" s="44" t="s">
        <v>43</v>
      </c>
      <c r="B12" s="45" t="s">
        <v>143</v>
      </c>
      <c r="C12" s="46" t="s">
        <v>69</v>
      </c>
      <c r="D12" s="47">
        <v>3800</v>
      </c>
      <c r="E12" s="47">
        <v>0</v>
      </c>
      <c r="F12" s="47">
        <v>3800</v>
      </c>
      <c r="G12" s="47">
        <v>287.5</v>
      </c>
      <c r="H12" s="47">
        <v>0</v>
      </c>
      <c r="I12" s="47">
        <v>287.5</v>
      </c>
      <c r="J12" s="48">
        <v>-3512.5</v>
      </c>
      <c r="K12" s="49">
        <v>7.5657894736842105E-2</v>
      </c>
      <c r="L12" s="47">
        <v>2864.9</v>
      </c>
      <c r="M12" s="47">
        <v>0</v>
      </c>
      <c r="N12" s="47">
        <v>2864.9</v>
      </c>
      <c r="O12" s="48">
        <v>-935.1</v>
      </c>
      <c r="P12" s="50">
        <v>0.75392105263157894</v>
      </c>
    </row>
    <row r="13" spans="1:16" ht="14.25" customHeight="1" x14ac:dyDescent="0.25">
      <c r="A13" s="44" t="s">
        <v>43</v>
      </c>
      <c r="B13" s="45" t="s">
        <v>143</v>
      </c>
      <c r="C13" s="46" t="s">
        <v>70</v>
      </c>
      <c r="D13" s="47">
        <v>4500</v>
      </c>
      <c r="E13" s="47">
        <v>0</v>
      </c>
      <c r="F13" s="47">
        <v>4500</v>
      </c>
      <c r="G13" s="47">
        <v>1747.5</v>
      </c>
      <c r="H13" s="47">
        <v>0</v>
      </c>
      <c r="I13" s="47">
        <v>1747.5</v>
      </c>
      <c r="J13" s="48">
        <v>-2752.5</v>
      </c>
      <c r="K13" s="49">
        <v>0.38833333333333331</v>
      </c>
      <c r="L13" s="47">
        <v>3926.18</v>
      </c>
      <c r="M13" s="47">
        <v>0</v>
      </c>
      <c r="N13" s="47">
        <v>3926.18</v>
      </c>
      <c r="O13" s="48">
        <v>-573.82000000000005</v>
      </c>
      <c r="P13" s="50">
        <v>0.8724844444444444</v>
      </c>
    </row>
    <row r="14" spans="1:16" ht="14.25" customHeight="1" x14ac:dyDescent="0.25">
      <c r="A14" s="44" t="s">
        <v>43</v>
      </c>
      <c r="B14" s="45" t="s">
        <v>143</v>
      </c>
      <c r="C14" s="46" t="s">
        <v>71</v>
      </c>
      <c r="D14" s="47">
        <v>21200</v>
      </c>
      <c r="E14" s="47">
        <v>0</v>
      </c>
      <c r="F14" s="47">
        <v>21200</v>
      </c>
      <c r="G14" s="47">
        <v>3649</v>
      </c>
      <c r="H14" s="47">
        <v>0</v>
      </c>
      <c r="I14" s="47">
        <v>3649</v>
      </c>
      <c r="J14" s="48">
        <v>-17551</v>
      </c>
      <c r="K14" s="49">
        <v>0.17212264150943396</v>
      </c>
      <c r="L14" s="47">
        <v>13291.186667</v>
      </c>
      <c r="M14" s="47">
        <v>0</v>
      </c>
      <c r="N14" s="47">
        <v>13291.186667</v>
      </c>
      <c r="O14" s="48">
        <v>-7908.8133330000001</v>
      </c>
      <c r="P14" s="50">
        <v>0.6269427673113207</v>
      </c>
    </row>
    <row r="15" spans="1:16" ht="14.25" customHeight="1" x14ac:dyDescent="0.25">
      <c r="A15" s="44" t="s">
        <v>43</v>
      </c>
      <c r="B15" s="45" t="s">
        <v>143</v>
      </c>
      <c r="C15" s="46" t="s">
        <v>72</v>
      </c>
      <c r="D15" s="47">
        <v>19000</v>
      </c>
      <c r="E15" s="47">
        <v>0</v>
      </c>
      <c r="F15" s="47">
        <v>19000</v>
      </c>
      <c r="G15" s="47">
        <v>1864</v>
      </c>
      <c r="H15" s="47">
        <v>0</v>
      </c>
      <c r="I15" s="47">
        <v>1864</v>
      </c>
      <c r="J15" s="48">
        <v>-17136</v>
      </c>
      <c r="K15" s="49">
        <v>9.8105263157894737E-2</v>
      </c>
      <c r="L15" s="47">
        <v>6391.85</v>
      </c>
      <c r="M15" s="47">
        <v>0</v>
      </c>
      <c r="N15" s="47">
        <v>6391.85</v>
      </c>
      <c r="O15" s="48">
        <v>-12608.15</v>
      </c>
      <c r="P15" s="50">
        <v>0.33641315789473686</v>
      </c>
    </row>
    <row r="16" spans="1:16" ht="14.25" customHeight="1" x14ac:dyDescent="0.25">
      <c r="A16" s="44" t="s">
        <v>43</v>
      </c>
      <c r="B16" s="45" t="s">
        <v>143</v>
      </c>
      <c r="C16" s="46" t="s">
        <v>73</v>
      </c>
      <c r="D16" s="47">
        <v>4000</v>
      </c>
      <c r="E16" s="47">
        <v>0</v>
      </c>
      <c r="F16" s="47">
        <v>4000</v>
      </c>
      <c r="G16" s="47">
        <v>50000</v>
      </c>
      <c r="H16" s="47">
        <v>0</v>
      </c>
      <c r="I16" s="47">
        <v>50000</v>
      </c>
      <c r="J16" s="47">
        <v>46000</v>
      </c>
      <c r="K16" s="49">
        <v>9.99</v>
      </c>
      <c r="L16" s="47">
        <v>50539.853332999999</v>
      </c>
      <c r="M16" s="47">
        <v>0</v>
      </c>
      <c r="N16" s="47">
        <v>50539.853332999999</v>
      </c>
      <c r="O16" s="47">
        <v>46539.853332999999</v>
      </c>
      <c r="P16" s="50">
        <v>9.99</v>
      </c>
    </row>
    <row r="17" spans="1:19" ht="14.25" customHeight="1" x14ac:dyDescent="0.25">
      <c r="A17" s="44" t="s">
        <v>43</v>
      </c>
      <c r="B17" s="45" t="s">
        <v>104</v>
      </c>
      <c r="C17" s="46" t="s">
        <v>105</v>
      </c>
      <c r="D17" s="47">
        <v>16349703</v>
      </c>
      <c r="E17" s="47">
        <v>0</v>
      </c>
      <c r="F17" s="47">
        <v>16349703</v>
      </c>
      <c r="G17" s="47">
        <v>7227097.1799999997</v>
      </c>
      <c r="H17" s="47">
        <v>0</v>
      </c>
      <c r="I17" s="47">
        <v>7227097.1799999997</v>
      </c>
      <c r="J17" s="48">
        <v>-9122605.8200000003</v>
      </c>
      <c r="K17" s="49">
        <v>0.44203232193269809</v>
      </c>
      <c r="L17" s="47">
        <v>12610709.169999</v>
      </c>
      <c r="M17" s="47">
        <v>2031790</v>
      </c>
      <c r="N17" s="47">
        <v>14642499.169999</v>
      </c>
      <c r="O17" s="48">
        <v>-1707203.8300010001</v>
      </c>
      <c r="P17" s="50">
        <v>0.89558196684055968</v>
      </c>
    </row>
    <row r="18" spans="1:19" ht="14.25" customHeight="1" x14ac:dyDescent="0.25">
      <c r="A18" s="44" t="s">
        <v>43</v>
      </c>
      <c r="B18" s="45" t="s">
        <v>97</v>
      </c>
      <c r="C18" s="46" t="s">
        <v>98</v>
      </c>
      <c r="D18" s="47">
        <v>8919552</v>
      </c>
      <c r="E18" s="47">
        <v>0</v>
      </c>
      <c r="F18" s="47">
        <v>8919552</v>
      </c>
      <c r="G18" s="47">
        <v>4047726.3</v>
      </c>
      <c r="H18" s="47">
        <v>0</v>
      </c>
      <c r="I18" s="47">
        <v>4047726.3</v>
      </c>
      <c r="J18" s="48">
        <v>-4871825.7</v>
      </c>
      <c r="K18" s="49">
        <v>0.45380376727441019</v>
      </c>
      <c r="L18" s="47">
        <v>8286657.2866669996</v>
      </c>
      <c r="M18" s="47">
        <v>0</v>
      </c>
      <c r="N18" s="47">
        <v>8286657.2866669996</v>
      </c>
      <c r="O18" s="48">
        <v>-632894.71333299996</v>
      </c>
      <c r="P18" s="50">
        <v>0.92904411417378363</v>
      </c>
    </row>
    <row r="19" spans="1:19" ht="14.25" customHeight="1" x14ac:dyDescent="0.25">
      <c r="A19" s="44" t="s">
        <v>43</v>
      </c>
      <c r="B19" s="45" t="s">
        <v>123</v>
      </c>
      <c r="C19" s="46" t="s">
        <v>124</v>
      </c>
      <c r="D19" s="47">
        <v>979575</v>
      </c>
      <c r="E19" s="47">
        <v>0</v>
      </c>
      <c r="F19" s="47">
        <v>979575</v>
      </c>
      <c r="G19" s="47">
        <v>453538.39</v>
      </c>
      <c r="H19" s="47">
        <v>0</v>
      </c>
      <c r="I19" s="47">
        <v>453538.39</v>
      </c>
      <c r="J19" s="48">
        <v>-526036.61</v>
      </c>
      <c r="K19" s="49">
        <v>0.46299506418599901</v>
      </c>
      <c r="L19" s="47">
        <v>899734.14666600002</v>
      </c>
      <c r="M19" s="47">
        <v>0</v>
      </c>
      <c r="N19" s="47">
        <v>899734.14666600002</v>
      </c>
      <c r="O19" s="48">
        <v>-79840.853333999999</v>
      </c>
      <c r="P19" s="50">
        <v>0.91849439467728355</v>
      </c>
    </row>
    <row r="20" spans="1:19" ht="14.25" customHeight="1" x14ac:dyDescent="0.25">
      <c r="A20" s="44" t="s">
        <v>43</v>
      </c>
      <c r="B20" s="45" t="s">
        <v>123</v>
      </c>
      <c r="C20" s="46" t="s">
        <v>125</v>
      </c>
      <c r="D20" s="47">
        <v>366000</v>
      </c>
      <c r="E20" s="47">
        <v>0</v>
      </c>
      <c r="F20" s="47">
        <v>366000</v>
      </c>
      <c r="G20" s="47">
        <v>148896.82999999999</v>
      </c>
      <c r="H20" s="47">
        <v>0</v>
      </c>
      <c r="I20" s="47">
        <v>148896.82999999999</v>
      </c>
      <c r="J20" s="48">
        <v>-217103.17</v>
      </c>
      <c r="K20" s="49">
        <v>0.40682193989071036</v>
      </c>
      <c r="L20" s="47">
        <v>224085.01666600001</v>
      </c>
      <c r="M20" s="47">
        <v>141915</v>
      </c>
      <c r="N20" s="47">
        <v>366000.01666600001</v>
      </c>
      <c r="O20" s="47">
        <v>1.6666E-2</v>
      </c>
      <c r="P20" s="50">
        <v>1.0000000455355191</v>
      </c>
    </row>
    <row r="21" spans="1:19" ht="14.25" customHeight="1" x14ac:dyDescent="0.25">
      <c r="A21" s="44" t="s">
        <v>43</v>
      </c>
      <c r="B21" s="45" t="s">
        <v>143</v>
      </c>
      <c r="C21" s="46" t="s">
        <v>74</v>
      </c>
      <c r="D21" s="47">
        <v>603000</v>
      </c>
      <c r="E21" s="47">
        <v>0</v>
      </c>
      <c r="F21" s="47">
        <v>603000</v>
      </c>
      <c r="G21" s="47">
        <v>316304.71000000002</v>
      </c>
      <c r="H21" s="47">
        <v>0</v>
      </c>
      <c r="I21" s="47">
        <v>316304.71000000002</v>
      </c>
      <c r="J21" s="48">
        <v>-286695.28999999998</v>
      </c>
      <c r="K21" s="49">
        <v>0.52455175787728026</v>
      </c>
      <c r="L21" s="47">
        <v>527861.74333299999</v>
      </c>
      <c r="M21" s="47">
        <v>91056</v>
      </c>
      <c r="N21" s="47">
        <v>618917.74333299999</v>
      </c>
      <c r="O21" s="47">
        <v>15917.743333</v>
      </c>
      <c r="P21" s="50">
        <v>1.0263975843001658</v>
      </c>
    </row>
    <row r="22" spans="1:19" ht="14.25" customHeight="1" x14ac:dyDescent="0.25">
      <c r="A22" s="44" t="s">
        <v>43</v>
      </c>
      <c r="B22" s="45" t="s">
        <v>143</v>
      </c>
      <c r="C22" s="46" t="s">
        <v>75</v>
      </c>
      <c r="D22" s="47">
        <v>124500</v>
      </c>
      <c r="E22" s="47">
        <v>0</v>
      </c>
      <c r="F22" s="47">
        <v>124500</v>
      </c>
      <c r="G22" s="47">
        <v>53084.01</v>
      </c>
      <c r="H22" s="47">
        <v>0</v>
      </c>
      <c r="I22" s="47">
        <v>53084.01</v>
      </c>
      <c r="J22" s="48">
        <v>-71415.990000000005</v>
      </c>
      <c r="K22" s="49">
        <v>0.42637759036144579</v>
      </c>
      <c r="L22" s="47">
        <v>130153.17000100001</v>
      </c>
      <c r="M22" s="47">
        <v>0</v>
      </c>
      <c r="N22" s="47">
        <v>130153.17000100001</v>
      </c>
      <c r="O22" s="47">
        <v>5653.1700010000004</v>
      </c>
      <c r="P22" s="50">
        <v>1.0454069879598393</v>
      </c>
    </row>
    <row r="23" spans="1:19" ht="14.25" customHeight="1" x14ac:dyDescent="0.25">
      <c r="A23" s="44" t="s">
        <v>43</v>
      </c>
      <c r="B23" s="45" t="s">
        <v>143</v>
      </c>
      <c r="C23" s="46" t="s">
        <v>76</v>
      </c>
      <c r="D23" s="47">
        <v>2840000</v>
      </c>
      <c r="E23" s="47">
        <v>0</v>
      </c>
      <c r="F23" s="47">
        <v>2840000</v>
      </c>
      <c r="G23" s="47">
        <v>1507998.58</v>
      </c>
      <c r="H23" s="47">
        <v>0</v>
      </c>
      <c r="I23" s="47">
        <v>1507998.58</v>
      </c>
      <c r="J23" s="48">
        <v>-1332001.42</v>
      </c>
      <c r="K23" s="49">
        <v>0.53098541549295775</v>
      </c>
      <c r="L23" s="47">
        <v>2884254.239999</v>
      </c>
      <c r="M23" s="47">
        <v>0</v>
      </c>
      <c r="N23" s="47">
        <v>2884254.239999</v>
      </c>
      <c r="O23" s="47">
        <v>44254.239998999998</v>
      </c>
      <c r="P23" s="50">
        <v>1.0155824788728873</v>
      </c>
    </row>
    <row r="24" spans="1:19" ht="14.25" customHeight="1" x14ac:dyDescent="0.25">
      <c r="A24" s="44" t="s">
        <v>43</v>
      </c>
      <c r="B24" s="45" t="s">
        <v>143</v>
      </c>
      <c r="C24" s="46" t="s">
        <v>77</v>
      </c>
      <c r="D24" s="47">
        <v>239359</v>
      </c>
      <c r="E24" s="47">
        <v>0</v>
      </c>
      <c r="F24" s="47">
        <v>239359</v>
      </c>
      <c r="G24" s="47">
        <v>34498.65</v>
      </c>
      <c r="H24" s="47">
        <v>0</v>
      </c>
      <c r="I24" s="47">
        <v>34498.65</v>
      </c>
      <c r="J24" s="48">
        <v>-204860.35</v>
      </c>
      <c r="K24" s="49">
        <v>0.14412932039321688</v>
      </c>
      <c r="L24" s="47">
        <v>222199.08</v>
      </c>
      <c r="M24" s="47">
        <v>0</v>
      </c>
      <c r="N24" s="47">
        <v>222199.08</v>
      </c>
      <c r="O24" s="48">
        <v>-17159.919999999998</v>
      </c>
      <c r="P24" s="50">
        <v>0.92830885824222198</v>
      </c>
    </row>
    <row r="25" spans="1:19" ht="14.25" customHeight="1" x14ac:dyDescent="0.25">
      <c r="A25" s="44" t="s">
        <v>43</v>
      </c>
      <c r="B25" s="45" t="s">
        <v>143</v>
      </c>
      <c r="C25" s="46" t="s">
        <v>78</v>
      </c>
      <c r="D25" s="47">
        <v>0</v>
      </c>
      <c r="E25" s="47">
        <v>0</v>
      </c>
      <c r="F25" s="47">
        <v>0</v>
      </c>
      <c r="G25" s="47">
        <v>1940</v>
      </c>
      <c r="H25" s="47">
        <v>0</v>
      </c>
      <c r="I25" s="47">
        <v>1940</v>
      </c>
      <c r="J25" s="47">
        <v>1940</v>
      </c>
      <c r="K25" s="49">
        <v>1</v>
      </c>
      <c r="L25" s="47">
        <v>3006.733334</v>
      </c>
      <c r="M25" s="47">
        <v>0</v>
      </c>
      <c r="N25" s="47">
        <v>3006.733334</v>
      </c>
      <c r="O25" s="47">
        <v>3006.733334</v>
      </c>
      <c r="P25" s="50">
        <v>1</v>
      </c>
    </row>
    <row r="26" spans="1:19" ht="14.25" customHeight="1" x14ac:dyDescent="0.25">
      <c r="A26" s="44" t="s">
        <v>43</v>
      </c>
      <c r="B26" s="45" t="s">
        <v>39</v>
      </c>
      <c r="C26" s="46" t="s">
        <v>40</v>
      </c>
      <c r="D26" s="47">
        <v>158666757</v>
      </c>
      <c r="E26" s="47">
        <v>733836</v>
      </c>
      <c r="F26" s="47">
        <v>159400593</v>
      </c>
      <c r="G26" s="47">
        <v>49326402.829999998</v>
      </c>
      <c r="H26" s="47">
        <v>0</v>
      </c>
      <c r="I26" s="47">
        <v>49326402.829999998</v>
      </c>
      <c r="J26" s="48">
        <v>-110074190.17</v>
      </c>
      <c r="K26" s="49">
        <v>0.30944930568733831</v>
      </c>
      <c r="L26" s="47">
        <v>146265628.03332099</v>
      </c>
      <c r="M26" s="47">
        <v>14329372</v>
      </c>
      <c r="N26" s="47">
        <v>160595000.03332099</v>
      </c>
      <c r="O26" s="47">
        <v>1194407.0333209999</v>
      </c>
      <c r="P26" s="50">
        <v>1.0074931153695332</v>
      </c>
      <c r="R26" s="51"/>
      <c r="S26" s="51"/>
    </row>
    <row r="27" spans="1:19" ht="14.25" customHeight="1" x14ac:dyDescent="0.25">
      <c r="A27" s="44" t="s">
        <v>43</v>
      </c>
      <c r="B27" s="45" t="s">
        <v>99</v>
      </c>
      <c r="C27" s="46" t="s">
        <v>100</v>
      </c>
      <c r="D27" s="47">
        <v>5612825</v>
      </c>
      <c r="E27" s="47">
        <v>15894</v>
      </c>
      <c r="F27" s="47">
        <v>5628719</v>
      </c>
      <c r="G27" s="47">
        <v>2032985.86</v>
      </c>
      <c r="H27" s="47">
        <v>0</v>
      </c>
      <c r="I27" s="47">
        <v>2032985.86</v>
      </c>
      <c r="J27" s="48">
        <v>-3595733.14</v>
      </c>
      <c r="K27" s="49">
        <v>0.36118091167812783</v>
      </c>
      <c r="L27" s="47">
        <v>3823090.6966650002</v>
      </c>
      <c r="M27" s="47">
        <v>1748825</v>
      </c>
      <c r="N27" s="47">
        <v>5571915.6966650002</v>
      </c>
      <c r="O27" s="48">
        <v>-56803.303334999997</v>
      </c>
      <c r="P27" s="50">
        <v>0.98990830714146505</v>
      </c>
    </row>
    <row r="28" spans="1:19" ht="14.25" customHeight="1" x14ac:dyDescent="0.25">
      <c r="A28" s="44" t="s">
        <v>43</v>
      </c>
      <c r="B28" s="45" t="s">
        <v>99</v>
      </c>
      <c r="C28" s="46" t="s">
        <v>101</v>
      </c>
      <c r="D28" s="47">
        <v>358500</v>
      </c>
      <c r="E28" s="47">
        <v>0</v>
      </c>
      <c r="F28" s="47">
        <v>358500</v>
      </c>
      <c r="G28" s="47">
        <v>35673.760000000002</v>
      </c>
      <c r="H28" s="47">
        <v>0</v>
      </c>
      <c r="I28" s="47">
        <v>35673.760000000002</v>
      </c>
      <c r="J28" s="48">
        <v>-322826.23999999999</v>
      </c>
      <c r="K28" s="49">
        <v>9.9508396094839607E-2</v>
      </c>
      <c r="L28" s="47">
        <v>355407.16333399998</v>
      </c>
      <c r="M28" s="47">
        <v>0</v>
      </c>
      <c r="N28" s="47">
        <v>355407.16333399998</v>
      </c>
      <c r="O28" s="48">
        <v>-3092.8366660000002</v>
      </c>
      <c r="P28" s="50">
        <v>0.99137284054114361</v>
      </c>
    </row>
    <row r="29" spans="1:19" ht="14.25" customHeight="1" x14ac:dyDescent="0.25">
      <c r="A29" s="44" t="s">
        <v>43</v>
      </c>
      <c r="B29" s="45" t="s">
        <v>95</v>
      </c>
      <c r="C29" s="46" t="s">
        <v>96</v>
      </c>
      <c r="D29" s="47">
        <v>4457953</v>
      </c>
      <c r="E29" s="47">
        <v>0</v>
      </c>
      <c r="F29" s="47">
        <v>4457953</v>
      </c>
      <c r="G29" s="47">
        <v>47882.78</v>
      </c>
      <c r="H29" s="47">
        <v>0</v>
      </c>
      <c r="I29" s="47">
        <v>47882.78</v>
      </c>
      <c r="J29" s="48">
        <v>-4410070.22</v>
      </c>
      <c r="K29" s="49">
        <v>1.0740979099600197E-2</v>
      </c>
      <c r="L29" s="47">
        <v>3752822.7099990002</v>
      </c>
      <c r="M29" s="47">
        <v>0</v>
      </c>
      <c r="N29" s="47">
        <v>3752822.7099990002</v>
      </c>
      <c r="O29" s="48">
        <v>-705130.29000100004</v>
      </c>
      <c r="P29" s="50">
        <v>0.84182644141806784</v>
      </c>
    </row>
    <row r="30" spans="1:19" ht="14.25" customHeight="1" x14ac:dyDescent="0.25">
      <c r="A30" s="44" t="s">
        <v>43</v>
      </c>
      <c r="B30" s="52" t="s">
        <v>144</v>
      </c>
      <c r="C30" s="46" t="s">
        <v>110</v>
      </c>
      <c r="D30" s="47">
        <v>145000</v>
      </c>
      <c r="E30" s="47">
        <v>0</v>
      </c>
      <c r="F30" s="47">
        <v>145000</v>
      </c>
      <c r="G30" s="47">
        <v>77064.02</v>
      </c>
      <c r="H30" s="47">
        <v>0</v>
      </c>
      <c r="I30" s="47">
        <v>77064.02</v>
      </c>
      <c r="J30" s="48">
        <v>-67935.98</v>
      </c>
      <c r="K30" s="49">
        <v>0.53147599999999995</v>
      </c>
      <c r="L30" s="47">
        <v>147395.599999</v>
      </c>
      <c r="M30" s="47">
        <v>0</v>
      </c>
      <c r="N30" s="47">
        <v>147395.599999</v>
      </c>
      <c r="O30" s="47">
        <v>2395.599999</v>
      </c>
      <c r="P30" s="50">
        <v>1.0165213793034482</v>
      </c>
    </row>
    <row r="31" spans="1:19" ht="14.25" customHeight="1" x14ac:dyDescent="0.25">
      <c r="A31" s="44" t="s">
        <v>43</v>
      </c>
      <c r="B31" s="45" t="s">
        <v>111</v>
      </c>
      <c r="C31" s="46" t="s">
        <v>112</v>
      </c>
      <c r="D31" s="47">
        <v>314000</v>
      </c>
      <c r="E31" s="47">
        <v>0</v>
      </c>
      <c r="F31" s="47">
        <v>314000</v>
      </c>
      <c r="G31" s="47">
        <v>166770.31</v>
      </c>
      <c r="H31" s="47">
        <v>0</v>
      </c>
      <c r="I31" s="47">
        <v>166770.31</v>
      </c>
      <c r="J31" s="48">
        <v>-147229.69</v>
      </c>
      <c r="K31" s="49">
        <v>0.53111563694267516</v>
      </c>
      <c r="L31" s="47">
        <v>318971.29333299998</v>
      </c>
      <c r="M31" s="47">
        <v>0</v>
      </c>
      <c r="N31" s="47">
        <v>318971.29333299998</v>
      </c>
      <c r="O31" s="47">
        <v>4971.2933329999996</v>
      </c>
      <c r="P31" s="50">
        <v>1.0158321443726115</v>
      </c>
    </row>
    <row r="32" spans="1:19" ht="14.25" customHeight="1" x14ac:dyDescent="0.25">
      <c r="A32" s="44" t="s">
        <v>43</v>
      </c>
      <c r="B32" s="45" t="s">
        <v>106</v>
      </c>
      <c r="C32" s="46" t="s">
        <v>108</v>
      </c>
      <c r="D32" s="47">
        <v>348000</v>
      </c>
      <c r="E32" s="47">
        <v>0</v>
      </c>
      <c r="F32" s="47">
        <v>348000</v>
      </c>
      <c r="G32" s="47">
        <v>184814.49</v>
      </c>
      <c r="H32" s="47">
        <v>0</v>
      </c>
      <c r="I32" s="47">
        <v>184814.49</v>
      </c>
      <c r="J32" s="48">
        <v>-163185.51</v>
      </c>
      <c r="K32" s="49">
        <v>0.53107612068965515</v>
      </c>
      <c r="L32" s="47">
        <v>353483.009999</v>
      </c>
      <c r="M32" s="47">
        <v>0</v>
      </c>
      <c r="N32" s="47">
        <v>353483.009999</v>
      </c>
      <c r="O32" s="47">
        <v>5483.0099989999999</v>
      </c>
      <c r="P32" s="50">
        <v>1.0157557758591953</v>
      </c>
    </row>
    <row r="33" spans="1:16" ht="14.25" customHeight="1" x14ac:dyDescent="0.25">
      <c r="A33" s="44" t="s">
        <v>43</v>
      </c>
      <c r="B33" s="45" t="s">
        <v>83</v>
      </c>
      <c r="C33" s="46" t="s">
        <v>84</v>
      </c>
      <c r="D33" s="47">
        <v>2746702</v>
      </c>
      <c r="E33" s="47">
        <v>0</v>
      </c>
      <c r="F33" s="47">
        <v>2746702</v>
      </c>
      <c r="G33" s="47">
        <v>419737.61</v>
      </c>
      <c r="H33" s="47">
        <v>0</v>
      </c>
      <c r="I33" s="47">
        <v>419737.61</v>
      </c>
      <c r="J33" s="48">
        <v>-2326964.39</v>
      </c>
      <c r="K33" s="49">
        <v>0.15281512519377785</v>
      </c>
      <c r="L33" s="47">
        <v>1085645.8799940001</v>
      </c>
      <c r="M33" s="47">
        <v>1445554</v>
      </c>
      <c r="N33" s="47">
        <v>2531199.8799939998</v>
      </c>
      <c r="O33" s="48">
        <v>-215502.12000600001</v>
      </c>
      <c r="P33" s="50">
        <v>0.92154149958532083</v>
      </c>
    </row>
    <row r="34" spans="1:16" ht="14.25" customHeight="1" x14ac:dyDescent="0.25">
      <c r="A34" s="44" t="s">
        <v>43</v>
      </c>
      <c r="B34" s="45" t="s">
        <v>83</v>
      </c>
      <c r="C34" s="46" t="s">
        <v>86</v>
      </c>
      <c r="D34" s="47">
        <v>20000</v>
      </c>
      <c r="E34" s="47">
        <v>0</v>
      </c>
      <c r="F34" s="47">
        <v>20000</v>
      </c>
      <c r="G34" s="47">
        <v>0</v>
      </c>
      <c r="H34" s="47">
        <v>0</v>
      </c>
      <c r="I34" s="47">
        <v>0</v>
      </c>
      <c r="J34" s="48">
        <v>-20000</v>
      </c>
      <c r="K34" s="49">
        <v>0</v>
      </c>
      <c r="L34" s="47">
        <v>1528</v>
      </c>
      <c r="M34" s="47">
        <v>19500</v>
      </c>
      <c r="N34" s="47">
        <v>21028</v>
      </c>
      <c r="O34" s="47">
        <v>1028</v>
      </c>
      <c r="P34" s="50">
        <v>1.0513999999999999</v>
      </c>
    </row>
    <row r="35" spans="1:16" ht="14.25" customHeight="1" x14ac:dyDescent="0.25">
      <c r="A35" s="44" t="s">
        <v>43</v>
      </c>
      <c r="B35" s="45" t="s">
        <v>83</v>
      </c>
      <c r="C35" s="46" t="s">
        <v>87</v>
      </c>
      <c r="D35" s="47">
        <v>1196000</v>
      </c>
      <c r="E35" s="47">
        <v>0</v>
      </c>
      <c r="F35" s="47">
        <v>1196000</v>
      </c>
      <c r="G35" s="47">
        <v>502831.09</v>
      </c>
      <c r="H35" s="47">
        <v>0</v>
      </c>
      <c r="I35" s="47">
        <v>502831.09</v>
      </c>
      <c r="J35" s="48">
        <v>-693168.91</v>
      </c>
      <c r="K35" s="49">
        <v>0.42042733277591976</v>
      </c>
      <c r="L35" s="47">
        <v>1119954.1566659999</v>
      </c>
      <c r="M35" s="47">
        <v>0</v>
      </c>
      <c r="N35" s="47">
        <v>1119954.1566659999</v>
      </c>
      <c r="O35" s="48">
        <v>-76045.843334000005</v>
      </c>
      <c r="P35" s="50">
        <v>0.93641651895150502</v>
      </c>
    </row>
    <row r="36" spans="1:16" ht="14.25" customHeight="1" x14ac:dyDescent="0.25">
      <c r="A36" s="44" t="s">
        <v>43</v>
      </c>
      <c r="B36" s="45" t="s">
        <v>83</v>
      </c>
      <c r="C36" s="46" t="s">
        <v>88</v>
      </c>
      <c r="D36" s="47">
        <v>1500</v>
      </c>
      <c r="E36" s="47">
        <v>0</v>
      </c>
      <c r="F36" s="47">
        <v>1500</v>
      </c>
      <c r="G36" s="47">
        <v>0</v>
      </c>
      <c r="H36" s="47">
        <v>0</v>
      </c>
      <c r="I36" s="47">
        <v>0</v>
      </c>
      <c r="J36" s="48">
        <v>-1500</v>
      </c>
      <c r="K36" s="49">
        <v>0</v>
      </c>
      <c r="L36" s="47">
        <v>0</v>
      </c>
      <c r="M36" s="47">
        <v>1500</v>
      </c>
      <c r="N36" s="47">
        <v>1500</v>
      </c>
      <c r="O36" s="47">
        <v>0</v>
      </c>
      <c r="P36" s="50">
        <v>1</v>
      </c>
    </row>
    <row r="37" spans="1:16" ht="14.25" customHeight="1" x14ac:dyDescent="0.25">
      <c r="A37" s="44" t="s">
        <v>43</v>
      </c>
      <c r="B37" s="45" t="s">
        <v>83</v>
      </c>
      <c r="C37" s="46" t="s">
        <v>89</v>
      </c>
      <c r="D37" s="47">
        <v>418000</v>
      </c>
      <c r="E37" s="47">
        <v>0</v>
      </c>
      <c r="F37" s="47">
        <v>418000</v>
      </c>
      <c r="G37" s="47">
        <v>274460.38</v>
      </c>
      <c r="H37" s="47">
        <v>0</v>
      </c>
      <c r="I37" s="47">
        <v>274460.38</v>
      </c>
      <c r="J37" s="48">
        <v>-143539.62</v>
      </c>
      <c r="K37" s="49">
        <v>0.65660377990430618</v>
      </c>
      <c r="L37" s="47">
        <v>499091.319999</v>
      </c>
      <c r="M37" s="47">
        <v>0</v>
      </c>
      <c r="N37" s="47">
        <v>499091.319999</v>
      </c>
      <c r="O37" s="47">
        <v>81091.319998999999</v>
      </c>
      <c r="P37" s="50">
        <v>1.1939983732033492</v>
      </c>
    </row>
    <row r="38" spans="1:16" ht="14.25" customHeight="1" x14ac:dyDescent="0.25">
      <c r="A38" s="44" t="s">
        <v>43</v>
      </c>
      <c r="B38" s="45" t="s">
        <v>83</v>
      </c>
      <c r="C38" s="46" t="s">
        <v>90</v>
      </c>
      <c r="D38" s="47">
        <v>35000</v>
      </c>
      <c r="E38" s="47">
        <v>0</v>
      </c>
      <c r="F38" s="47">
        <v>35000</v>
      </c>
      <c r="G38" s="47">
        <v>29010.43</v>
      </c>
      <c r="H38" s="47">
        <v>0</v>
      </c>
      <c r="I38" s="47">
        <v>29010.43</v>
      </c>
      <c r="J38" s="48">
        <v>-5989.57</v>
      </c>
      <c r="K38" s="49">
        <v>0.82886942857142853</v>
      </c>
      <c r="L38" s="47">
        <v>42512.803333000003</v>
      </c>
      <c r="M38" s="47">
        <v>0</v>
      </c>
      <c r="N38" s="47">
        <v>42512.803333000003</v>
      </c>
      <c r="O38" s="47">
        <v>7512.8033329999998</v>
      </c>
      <c r="P38" s="50">
        <v>1.2146515238</v>
      </c>
    </row>
    <row r="39" spans="1:16" ht="14.25" customHeight="1" x14ac:dyDescent="0.25">
      <c r="A39" s="44" t="s">
        <v>43</v>
      </c>
      <c r="B39" s="45" t="s">
        <v>83</v>
      </c>
      <c r="C39" s="46" t="s">
        <v>91</v>
      </c>
      <c r="D39" s="47">
        <v>0</v>
      </c>
      <c r="E39" s="47">
        <v>0</v>
      </c>
      <c r="F39" s="47">
        <v>0</v>
      </c>
      <c r="G39" s="47">
        <v>0</v>
      </c>
      <c r="H39" s="47">
        <v>0</v>
      </c>
      <c r="I39" s="47">
        <v>0</v>
      </c>
      <c r="J39" s="47">
        <v>0</v>
      </c>
      <c r="K39" s="49">
        <v>0</v>
      </c>
      <c r="L39" s="47">
        <v>0</v>
      </c>
      <c r="M39" s="47">
        <v>176000</v>
      </c>
      <c r="N39" s="47">
        <v>176000</v>
      </c>
      <c r="O39" s="47">
        <v>176000</v>
      </c>
      <c r="P39" s="50">
        <v>1</v>
      </c>
    </row>
    <row r="40" spans="1:16" ht="14.25" customHeight="1" x14ac:dyDescent="0.25">
      <c r="A40" s="44" t="s">
        <v>43</v>
      </c>
      <c r="B40" s="45" t="s">
        <v>102</v>
      </c>
      <c r="C40" s="46" t="s">
        <v>103</v>
      </c>
      <c r="D40" s="47">
        <v>367000</v>
      </c>
      <c r="E40" s="47">
        <v>0</v>
      </c>
      <c r="F40" s="47">
        <v>367000</v>
      </c>
      <c r="G40" s="47">
        <v>192749.26</v>
      </c>
      <c r="H40" s="47">
        <v>0</v>
      </c>
      <c r="I40" s="47">
        <v>192749.26</v>
      </c>
      <c r="J40" s="48">
        <v>-174250.74</v>
      </c>
      <c r="K40" s="49">
        <v>0.52520234332425064</v>
      </c>
      <c r="L40" s="47">
        <v>373599.91999800003</v>
      </c>
      <c r="M40" s="47">
        <v>0</v>
      </c>
      <c r="N40" s="47">
        <v>373599.91999800003</v>
      </c>
      <c r="O40" s="47">
        <v>6599.9199980000003</v>
      </c>
      <c r="P40" s="50">
        <v>1.0179834332370572</v>
      </c>
    </row>
    <row r="41" spans="1:16" ht="14.25" customHeight="1" x14ac:dyDescent="0.25">
      <c r="A41" s="44" t="s">
        <v>43</v>
      </c>
      <c r="B41" s="45" t="s">
        <v>15</v>
      </c>
      <c r="C41" s="46" t="s">
        <v>92</v>
      </c>
      <c r="D41" s="47">
        <v>941273</v>
      </c>
      <c r="E41" s="47">
        <v>0</v>
      </c>
      <c r="F41" s="47">
        <v>941273</v>
      </c>
      <c r="G41" s="47">
        <v>339660.67</v>
      </c>
      <c r="H41" s="47">
        <v>0</v>
      </c>
      <c r="I41" s="47">
        <v>339660.67</v>
      </c>
      <c r="J41" s="48">
        <v>-601612.32999999996</v>
      </c>
      <c r="K41" s="49">
        <v>0.36085245194539733</v>
      </c>
      <c r="L41" s="47">
        <v>720129.05666799995</v>
      </c>
      <c r="M41" s="47">
        <v>221144</v>
      </c>
      <c r="N41" s="47">
        <v>941273.05666799995</v>
      </c>
      <c r="O41" s="47">
        <v>5.6668000000000003E-2</v>
      </c>
      <c r="P41" s="50">
        <v>1.0000000602035755</v>
      </c>
    </row>
    <row r="42" spans="1:16" ht="14.25" customHeight="1" x14ac:dyDescent="0.25">
      <c r="A42" s="44" t="s">
        <v>43</v>
      </c>
      <c r="B42" s="45" t="s">
        <v>15</v>
      </c>
      <c r="C42" s="46" t="s">
        <v>93</v>
      </c>
      <c r="D42" s="47">
        <v>100168</v>
      </c>
      <c r="E42" s="47">
        <v>0</v>
      </c>
      <c r="F42" s="47">
        <v>100168</v>
      </c>
      <c r="G42" s="47">
        <v>69074</v>
      </c>
      <c r="H42" s="47">
        <v>0</v>
      </c>
      <c r="I42" s="47">
        <v>69074</v>
      </c>
      <c r="J42" s="48">
        <v>-31094</v>
      </c>
      <c r="K42" s="49">
        <v>0.68958150307483423</v>
      </c>
      <c r="L42" s="47">
        <v>137392.11333399999</v>
      </c>
      <c r="M42" s="48">
        <v>-37224</v>
      </c>
      <c r="N42" s="47">
        <v>100168.11333399999</v>
      </c>
      <c r="O42" s="47">
        <v>0.113334</v>
      </c>
      <c r="P42" s="50">
        <v>1.0000011314391821</v>
      </c>
    </row>
    <row r="43" spans="1:16" ht="14.25" customHeight="1" x14ac:dyDescent="0.25">
      <c r="A43" s="44" t="s">
        <v>43</v>
      </c>
      <c r="B43" s="45" t="s">
        <v>15</v>
      </c>
      <c r="C43" s="46" t="s">
        <v>94</v>
      </c>
      <c r="D43" s="47">
        <v>201400</v>
      </c>
      <c r="E43" s="47">
        <v>0</v>
      </c>
      <c r="F43" s="47">
        <v>201400</v>
      </c>
      <c r="G43" s="47">
        <v>33561.5</v>
      </c>
      <c r="H43" s="47">
        <v>0</v>
      </c>
      <c r="I43" s="47">
        <v>33561.5</v>
      </c>
      <c r="J43" s="48">
        <v>-167838.5</v>
      </c>
      <c r="K43" s="49">
        <v>0.16664101290963257</v>
      </c>
      <c r="L43" s="47">
        <v>214977.16666700001</v>
      </c>
      <c r="M43" s="47">
        <v>0</v>
      </c>
      <c r="N43" s="47">
        <v>214977.16666700001</v>
      </c>
      <c r="O43" s="47">
        <v>13577.166667</v>
      </c>
      <c r="P43" s="50">
        <v>1.0674139357845085</v>
      </c>
    </row>
    <row r="44" spans="1:16" ht="14.25" customHeight="1" x14ac:dyDescent="0.25">
      <c r="A44" s="44" t="s">
        <v>43</v>
      </c>
      <c r="B44" s="45" t="s">
        <v>120</v>
      </c>
      <c r="C44" s="46" t="s">
        <v>121</v>
      </c>
      <c r="D44" s="47">
        <v>74713</v>
      </c>
      <c r="E44" s="47">
        <v>0</v>
      </c>
      <c r="F44" s="47">
        <v>74713</v>
      </c>
      <c r="G44" s="47">
        <v>24017</v>
      </c>
      <c r="H44" s="47">
        <v>0</v>
      </c>
      <c r="I44" s="47">
        <v>24017</v>
      </c>
      <c r="J44" s="48">
        <v>-50696</v>
      </c>
      <c r="K44" s="49">
        <v>0.32145677459076732</v>
      </c>
      <c r="L44" s="47">
        <v>184867.04333300001</v>
      </c>
      <c r="M44" s="48">
        <v>-80000</v>
      </c>
      <c r="N44" s="47">
        <v>104867.04333299999</v>
      </c>
      <c r="O44" s="47">
        <v>30154.043333000001</v>
      </c>
      <c r="P44" s="50">
        <v>1.4035983474495737</v>
      </c>
    </row>
    <row r="45" spans="1:16" ht="14.25" customHeight="1" x14ac:dyDescent="0.25">
      <c r="A45" s="44" t="s">
        <v>43</v>
      </c>
      <c r="B45" s="45" t="s">
        <v>120</v>
      </c>
      <c r="C45" s="46" t="s">
        <v>122</v>
      </c>
      <c r="D45" s="47">
        <v>969000</v>
      </c>
      <c r="E45" s="47">
        <v>0</v>
      </c>
      <c r="F45" s="47">
        <v>969000</v>
      </c>
      <c r="G45" s="47">
        <v>541405.18999999994</v>
      </c>
      <c r="H45" s="47">
        <v>0</v>
      </c>
      <c r="I45" s="47">
        <v>541405.18999999994</v>
      </c>
      <c r="J45" s="48">
        <v>-427594.81</v>
      </c>
      <c r="K45" s="49">
        <v>0.5587256862745098</v>
      </c>
      <c r="L45" s="47">
        <v>843896.92666600004</v>
      </c>
      <c r="M45" s="47">
        <v>0</v>
      </c>
      <c r="N45" s="47">
        <v>843896.92666600004</v>
      </c>
      <c r="O45" s="48">
        <v>-125103.073334</v>
      </c>
      <c r="P45" s="50">
        <v>0.87089466116202274</v>
      </c>
    </row>
    <row r="46" spans="1:16" ht="14.25" customHeight="1" x14ac:dyDescent="0.25">
      <c r="A46" s="44" t="s">
        <v>43</v>
      </c>
      <c r="B46" s="45" t="s">
        <v>113</v>
      </c>
      <c r="C46" s="46" t="s">
        <v>114</v>
      </c>
      <c r="D46" s="47">
        <v>853000</v>
      </c>
      <c r="E46" s="47">
        <v>0</v>
      </c>
      <c r="F46" s="47">
        <v>853000</v>
      </c>
      <c r="G46" s="47">
        <v>129000</v>
      </c>
      <c r="H46" s="47">
        <v>0</v>
      </c>
      <c r="I46" s="47">
        <v>129000</v>
      </c>
      <c r="J46" s="48">
        <v>-724000</v>
      </c>
      <c r="K46" s="49">
        <v>0.15123094958968347</v>
      </c>
      <c r="L46" s="47">
        <v>129000</v>
      </c>
      <c r="M46" s="47">
        <v>724000</v>
      </c>
      <c r="N46" s="47">
        <v>853000</v>
      </c>
      <c r="O46" s="47">
        <v>0</v>
      </c>
      <c r="P46" s="50">
        <v>1</v>
      </c>
    </row>
    <row r="47" spans="1:16" ht="14.25" customHeight="1" x14ac:dyDescent="0.25">
      <c r="A47" s="44" t="s">
        <v>43</v>
      </c>
      <c r="B47" s="45" t="s">
        <v>113</v>
      </c>
      <c r="C47" s="46" t="s">
        <v>117</v>
      </c>
      <c r="D47" s="47">
        <v>100000</v>
      </c>
      <c r="E47" s="47">
        <v>0</v>
      </c>
      <c r="F47" s="47">
        <v>100000</v>
      </c>
      <c r="G47" s="47">
        <v>0</v>
      </c>
      <c r="H47" s="47">
        <v>0</v>
      </c>
      <c r="I47" s="47">
        <v>0</v>
      </c>
      <c r="J47" s="48">
        <v>-100000</v>
      </c>
      <c r="K47" s="49">
        <v>0</v>
      </c>
      <c r="L47" s="47">
        <v>0</v>
      </c>
      <c r="M47" s="47">
        <v>100000</v>
      </c>
      <c r="N47" s="47">
        <v>100000</v>
      </c>
      <c r="O47" s="47">
        <v>0</v>
      </c>
      <c r="P47" s="50">
        <v>1</v>
      </c>
    </row>
    <row r="48" spans="1:16" ht="14.25" customHeight="1" x14ac:dyDescent="0.25">
      <c r="A48" s="44" t="s">
        <v>43</v>
      </c>
      <c r="B48" s="45" t="s">
        <v>113</v>
      </c>
      <c r="C48" s="46" t="s">
        <v>119</v>
      </c>
      <c r="D48" s="47">
        <v>2000</v>
      </c>
      <c r="E48" s="47">
        <v>0</v>
      </c>
      <c r="F48" s="47">
        <v>2000</v>
      </c>
      <c r="G48" s="47">
        <v>2000</v>
      </c>
      <c r="H48" s="47">
        <v>0</v>
      </c>
      <c r="I48" s="47">
        <v>2000</v>
      </c>
      <c r="J48" s="47">
        <v>0</v>
      </c>
      <c r="K48" s="49">
        <v>1</v>
      </c>
      <c r="L48" s="47">
        <v>2000</v>
      </c>
      <c r="M48" s="47">
        <v>0</v>
      </c>
      <c r="N48" s="47">
        <v>2000</v>
      </c>
      <c r="O48" s="47">
        <v>0</v>
      </c>
      <c r="P48" s="50">
        <v>1</v>
      </c>
    </row>
    <row r="49" spans="1:16" ht="14.25" customHeight="1" x14ac:dyDescent="0.25">
      <c r="A49" s="44" t="s">
        <v>43</v>
      </c>
      <c r="B49" s="45" t="s">
        <v>80</v>
      </c>
      <c r="C49" s="46" t="s">
        <v>81</v>
      </c>
      <c r="D49" s="47">
        <v>200000</v>
      </c>
      <c r="E49" s="47">
        <v>0</v>
      </c>
      <c r="F49" s="47">
        <v>200000</v>
      </c>
      <c r="G49" s="48">
        <v>-4305.62</v>
      </c>
      <c r="H49" s="47">
        <v>0</v>
      </c>
      <c r="I49" s="48">
        <v>-4305.62</v>
      </c>
      <c r="J49" s="48">
        <v>-204305.62</v>
      </c>
      <c r="K49" s="53">
        <v>-2.1528100000000001E-2</v>
      </c>
      <c r="L49" s="47">
        <v>84217.186667000002</v>
      </c>
      <c r="M49" s="47">
        <v>115783</v>
      </c>
      <c r="N49" s="47">
        <v>200000.186667</v>
      </c>
      <c r="O49" s="47">
        <v>0.186667</v>
      </c>
      <c r="P49" s="50">
        <v>1.000000933335</v>
      </c>
    </row>
    <row r="50" spans="1:16" ht="14.25" customHeight="1" x14ac:dyDescent="0.25">
      <c r="A50" s="44" t="s">
        <v>38</v>
      </c>
      <c r="B50" s="45" t="s">
        <v>143</v>
      </c>
      <c r="C50" s="46" t="s">
        <v>61</v>
      </c>
      <c r="D50" s="47">
        <v>49750</v>
      </c>
      <c r="E50" s="47">
        <v>0</v>
      </c>
      <c r="F50" s="47">
        <v>49750</v>
      </c>
      <c r="G50" s="47">
        <v>17371.95</v>
      </c>
      <c r="H50" s="47">
        <v>0</v>
      </c>
      <c r="I50" s="47">
        <v>17371.95</v>
      </c>
      <c r="J50" s="47">
        <v>32378.05</v>
      </c>
      <c r="K50" s="49">
        <v>0.34918492462311557</v>
      </c>
      <c r="L50" s="47">
        <v>27927.526665000001</v>
      </c>
      <c r="M50" s="47">
        <v>0</v>
      </c>
      <c r="N50" s="47">
        <v>27927.526665000001</v>
      </c>
      <c r="O50" s="47">
        <v>21822.473334999999</v>
      </c>
      <c r="P50" s="50">
        <v>0.56135731989949744</v>
      </c>
    </row>
    <row r="51" spans="1:16" ht="14.25" customHeight="1" x14ac:dyDescent="0.25">
      <c r="A51" s="44" t="s">
        <v>38</v>
      </c>
      <c r="B51" s="45" t="s">
        <v>143</v>
      </c>
      <c r="C51" s="46" t="s">
        <v>62</v>
      </c>
      <c r="D51" s="47">
        <v>0</v>
      </c>
      <c r="E51" s="47">
        <v>0</v>
      </c>
      <c r="F51" s="47">
        <v>0</v>
      </c>
      <c r="G51" s="47">
        <v>16.75</v>
      </c>
      <c r="H51" s="47">
        <v>0</v>
      </c>
      <c r="I51" s="47">
        <v>16.75</v>
      </c>
      <c r="J51" s="48">
        <v>-16.75</v>
      </c>
      <c r="K51" s="53">
        <v>-1</v>
      </c>
      <c r="L51" s="47">
        <v>1922.51</v>
      </c>
      <c r="M51" s="47">
        <v>0</v>
      </c>
      <c r="N51" s="47">
        <v>1922.51</v>
      </c>
      <c r="O51" s="48">
        <v>-1922.51</v>
      </c>
      <c r="P51" s="54">
        <v>-1</v>
      </c>
    </row>
    <row r="52" spans="1:16" ht="14.25" customHeight="1" x14ac:dyDescent="0.25">
      <c r="A52" s="44" t="s">
        <v>38</v>
      </c>
      <c r="B52" s="45" t="s">
        <v>143</v>
      </c>
      <c r="C52" s="46" t="s">
        <v>63</v>
      </c>
      <c r="D52" s="47">
        <v>0</v>
      </c>
      <c r="E52" s="47">
        <v>0</v>
      </c>
      <c r="F52" s="47">
        <v>0</v>
      </c>
      <c r="G52" s="47">
        <v>6.89</v>
      </c>
      <c r="H52" s="47">
        <v>0</v>
      </c>
      <c r="I52" s="47">
        <v>6.89</v>
      </c>
      <c r="J52" s="48">
        <v>-6.89</v>
      </c>
      <c r="K52" s="53">
        <v>-1</v>
      </c>
      <c r="L52" s="47">
        <v>10.593332999999999</v>
      </c>
      <c r="M52" s="47">
        <v>0</v>
      </c>
      <c r="N52" s="47">
        <v>10.593332999999999</v>
      </c>
      <c r="O52" s="48">
        <v>-10.593332999999999</v>
      </c>
      <c r="P52" s="54">
        <v>-1</v>
      </c>
    </row>
    <row r="53" spans="1:16" ht="14.25" customHeight="1" x14ac:dyDescent="0.25">
      <c r="A53" s="44" t="s">
        <v>38</v>
      </c>
      <c r="B53" s="45" t="s">
        <v>143</v>
      </c>
      <c r="C53" s="46" t="s">
        <v>64</v>
      </c>
      <c r="D53" s="47">
        <v>0</v>
      </c>
      <c r="E53" s="47">
        <v>0</v>
      </c>
      <c r="F53" s="47">
        <v>0</v>
      </c>
      <c r="G53" s="48">
        <v>-1847.65</v>
      </c>
      <c r="H53" s="47">
        <v>0</v>
      </c>
      <c r="I53" s="48">
        <v>-1847.65</v>
      </c>
      <c r="J53" s="47">
        <v>1847.65</v>
      </c>
      <c r="K53" s="53">
        <v>-1</v>
      </c>
      <c r="L53" s="47">
        <v>623.09999800000003</v>
      </c>
      <c r="M53" s="47">
        <v>0</v>
      </c>
      <c r="N53" s="47">
        <v>623.09999800000003</v>
      </c>
      <c r="O53" s="48">
        <v>-623.09999800000003</v>
      </c>
      <c r="P53" s="54">
        <v>-1</v>
      </c>
    </row>
    <row r="54" spans="1:16" ht="14.25" customHeight="1" x14ac:dyDescent="0.25">
      <c r="A54" s="44" t="s">
        <v>38</v>
      </c>
      <c r="B54" s="45" t="s">
        <v>143</v>
      </c>
      <c r="C54" s="46" t="s">
        <v>65</v>
      </c>
      <c r="D54" s="47">
        <v>500</v>
      </c>
      <c r="E54" s="47">
        <v>0</v>
      </c>
      <c r="F54" s="47">
        <v>500</v>
      </c>
      <c r="G54" s="47">
        <v>2075.3200000000002</v>
      </c>
      <c r="H54" s="47">
        <v>0</v>
      </c>
      <c r="I54" s="47">
        <v>2075.3200000000002</v>
      </c>
      <c r="J54" s="48">
        <v>-1575.32</v>
      </c>
      <c r="K54" s="49">
        <v>4.1506400000000001</v>
      </c>
      <c r="L54" s="47">
        <v>2109.2633329999999</v>
      </c>
      <c r="M54" s="47">
        <v>0</v>
      </c>
      <c r="N54" s="47">
        <v>2109.2633329999999</v>
      </c>
      <c r="O54" s="48">
        <v>-1609.2633330000001</v>
      </c>
      <c r="P54" s="50">
        <v>4.2185266659999998</v>
      </c>
    </row>
    <row r="55" spans="1:16" ht="14.25" customHeight="1" x14ac:dyDescent="0.25">
      <c r="A55" s="44" t="s">
        <v>38</v>
      </c>
      <c r="B55" s="45" t="s">
        <v>143</v>
      </c>
      <c r="C55" s="46" t="s">
        <v>66</v>
      </c>
      <c r="D55" s="47">
        <v>0</v>
      </c>
      <c r="E55" s="47">
        <v>0</v>
      </c>
      <c r="F55" s="47">
        <v>0</v>
      </c>
      <c r="G55" s="47">
        <v>5</v>
      </c>
      <c r="H55" s="47">
        <v>0</v>
      </c>
      <c r="I55" s="47">
        <v>5</v>
      </c>
      <c r="J55" s="48">
        <v>-5</v>
      </c>
      <c r="K55" s="53">
        <v>-1</v>
      </c>
      <c r="L55" s="47">
        <v>7.91</v>
      </c>
      <c r="M55" s="47">
        <v>0</v>
      </c>
      <c r="N55" s="47">
        <v>7.91</v>
      </c>
      <c r="O55" s="48">
        <v>-7.91</v>
      </c>
      <c r="P55" s="54">
        <v>-1</v>
      </c>
    </row>
    <row r="56" spans="1:16" ht="14.25" customHeight="1" x14ac:dyDescent="0.25">
      <c r="A56" s="44" t="s">
        <v>38</v>
      </c>
      <c r="B56" s="45" t="s">
        <v>143</v>
      </c>
      <c r="C56" s="46" t="s">
        <v>67</v>
      </c>
      <c r="D56" s="47">
        <v>2000</v>
      </c>
      <c r="E56" s="47">
        <v>0</v>
      </c>
      <c r="F56" s="47">
        <v>2000</v>
      </c>
      <c r="G56" s="47">
        <v>12.5</v>
      </c>
      <c r="H56" s="47">
        <v>0</v>
      </c>
      <c r="I56" s="47">
        <v>12.5</v>
      </c>
      <c r="J56" s="47">
        <v>1987.5</v>
      </c>
      <c r="K56" s="49">
        <v>6.2500000000000003E-3</v>
      </c>
      <c r="L56" s="47">
        <v>12.5</v>
      </c>
      <c r="M56" s="47">
        <v>0</v>
      </c>
      <c r="N56" s="47">
        <v>12.5</v>
      </c>
      <c r="O56" s="47">
        <v>1987.5</v>
      </c>
      <c r="P56" s="50">
        <v>6.2500000000000003E-3</v>
      </c>
    </row>
    <row r="57" spans="1:16" ht="14.25" customHeight="1" x14ac:dyDescent="0.25">
      <c r="A57" s="44" t="s">
        <v>38</v>
      </c>
      <c r="B57" s="45" t="s">
        <v>143</v>
      </c>
      <c r="C57" s="46" t="s">
        <v>68</v>
      </c>
      <c r="D57" s="47">
        <v>0</v>
      </c>
      <c r="E57" s="47">
        <v>0</v>
      </c>
      <c r="F57" s="47">
        <v>0</v>
      </c>
      <c r="G57" s="48">
        <v>-2387.59</v>
      </c>
      <c r="H57" s="47">
        <v>0</v>
      </c>
      <c r="I57" s="48">
        <v>-2387.59</v>
      </c>
      <c r="J57" s="47">
        <v>2387.59</v>
      </c>
      <c r="K57" s="53">
        <v>-1</v>
      </c>
      <c r="L57" s="47">
        <v>1154.8666659999999</v>
      </c>
      <c r="M57" s="47">
        <v>0</v>
      </c>
      <c r="N57" s="47">
        <v>1154.8666659999999</v>
      </c>
      <c r="O57" s="48">
        <v>-1154.8666659999999</v>
      </c>
      <c r="P57" s="54">
        <v>-1</v>
      </c>
    </row>
    <row r="58" spans="1:16" ht="14.25" customHeight="1" x14ac:dyDescent="0.25">
      <c r="A58" s="44" t="s">
        <v>38</v>
      </c>
      <c r="B58" s="45" t="s">
        <v>143</v>
      </c>
      <c r="C58" s="46" t="s">
        <v>69</v>
      </c>
      <c r="D58" s="47">
        <v>0</v>
      </c>
      <c r="E58" s="47">
        <v>0</v>
      </c>
      <c r="F58" s="47">
        <v>0</v>
      </c>
      <c r="G58" s="47">
        <v>14.39</v>
      </c>
      <c r="H58" s="47">
        <v>0</v>
      </c>
      <c r="I58" s="47">
        <v>14.39</v>
      </c>
      <c r="J58" s="48">
        <v>-14.39</v>
      </c>
      <c r="K58" s="53">
        <v>-1</v>
      </c>
      <c r="L58" s="47">
        <v>17.893332999999998</v>
      </c>
      <c r="M58" s="47">
        <v>0</v>
      </c>
      <c r="N58" s="47">
        <v>17.893332999999998</v>
      </c>
      <c r="O58" s="48">
        <v>-17.893332999999998</v>
      </c>
      <c r="P58" s="54">
        <v>-1</v>
      </c>
    </row>
    <row r="59" spans="1:16" ht="14.25" customHeight="1" x14ac:dyDescent="0.25">
      <c r="A59" s="44" t="s">
        <v>38</v>
      </c>
      <c r="B59" s="45" t="s">
        <v>143</v>
      </c>
      <c r="C59" s="46" t="s">
        <v>70</v>
      </c>
      <c r="D59" s="47">
        <v>0</v>
      </c>
      <c r="E59" s="47">
        <v>0</v>
      </c>
      <c r="F59" s="47">
        <v>0</v>
      </c>
      <c r="G59" s="47">
        <v>87.39</v>
      </c>
      <c r="H59" s="47">
        <v>0</v>
      </c>
      <c r="I59" s="47">
        <v>87.39</v>
      </c>
      <c r="J59" s="48">
        <v>-87.39</v>
      </c>
      <c r="K59" s="53">
        <v>-1</v>
      </c>
      <c r="L59" s="47">
        <v>88.696665999999993</v>
      </c>
      <c r="M59" s="47">
        <v>0</v>
      </c>
      <c r="N59" s="47">
        <v>88.696665999999993</v>
      </c>
      <c r="O59" s="48">
        <v>-88.696665999999993</v>
      </c>
      <c r="P59" s="54">
        <v>-1</v>
      </c>
    </row>
    <row r="60" spans="1:16" ht="14.25" customHeight="1" x14ac:dyDescent="0.25">
      <c r="A60" s="44" t="s">
        <v>38</v>
      </c>
      <c r="B60" s="45" t="s">
        <v>143</v>
      </c>
      <c r="C60" s="46" t="s">
        <v>71</v>
      </c>
      <c r="D60" s="47">
        <v>150</v>
      </c>
      <c r="E60" s="47">
        <v>0</v>
      </c>
      <c r="F60" s="47">
        <v>150</v>
      </c>
      <c r="G60" s="47">
        <v>4097.3500000000004</v>
      </c>
      <c r="H60" s="47">
        <v>0</v>
      </c>
      <c r="I60" s="47">
        <v>4097.3500000000004</v>
      </c>
      <c r="J60" s="48">
        <v>-3947.35</v>
      </c>
      <c r="K60" s="49">
        <v>9.99</v>
      </c>
      <c r="L60" s="47">
        <v>4164.9266669999997</v>
      </c>
      <c r="M60" s="47">
        <v>0</v>
      </c>
      <c r="N60" s="47">
        <v>4164.9266669999997</v>
      </c>
      <c r="O60" s="48">
        <v>-4014.9266670000002</v>
      </c>
      <c r="P60" s="50">
        <v>9.99</v>
      </c>
    </row>
    <row r="61" spans="1:16" ht="14.25" customHeight="1" x14ac:dyDescent="0.25">
      <c r="A61" s="44" t="s">
        <v>38</v>
      </c>
      <c r="B61" s="45" t="s">
        <v>143</v>
      </c>
      <c r="C61" s="46" t="s">
        <v>72</v>
      </c>
      <c r="D61" s="47">
        <v>1700</v>
      </c>
      <c r="E61" s="47">
        <v>0</v>
      </c>
      <c r="F61" s="47">
        <v>1700</v>
      </c>
      <c r="G61" s="47">
        <v>93.2</v>
      </c>
      <c r="H61" s="47">
        <v>0</v>
      </c>
      <c r="I61" s="47">
        <v>93.2</v>
      </c>
      <c r="J61" s="47">
        <v>1606.8</v>
      </c>
      <c r="K61" s="49">
        <v>5.4823529411764708E-2</v>
      </c>
      <c r="L61" s="47">
        <v>95.71</v>
      </c>
      <c r="M61" s="47">
        <v>0</v>
      </c>
      <c r="N61" s="47">
        <v>95.71</v>
      </c>
      <c r="O61" s="47">
        <v>1604.29</v>
      </c>
      <c r="P61" s="50">
        <v>5.6300000000000003E-2</v>
      </c>
    </row>
    <row r="62" spans="1:16" ht="14.25" customHeight="1" x14ac:dyDescent="0.25">
      <c r="A62" s="44" t="s">
        <v>38</v>
      </c>
      <c r="B62" s="45" t="s">
        <v>143</v>
      </c>
      <c r="C62" s="46" t="s">
        <v>73</v>
      </c>
      <c r="D62" s="47">
        <v>0</v>
      </c>
      <c r="E62" s="47">
        <v>0</v>
      </c>
      <c r="F62" s="47">
        <v>0</v>
      </c>
      <c r="G62" s="47">
        <v>3299.6</v>
      </c>
      <c r="H62" s="47">
        <v>0</v>
      </c>
      <c r="I62" s="47">
        <v>3299.6</v>
      </c>
      <c r="J62" s="48">
        <v>-3299.6</v>
      </c>
      <c r="K62" s="53">
        <v>-1</v>
      </c>
      <c r="L62" s="47">
        <v>3334.3033329999998</v>
      </c>
      <c r="M62" s="47">
        <v>0</v>
      </c>
      <c r="N62" s="47">
        <v>3334.3033329999998</v>
      </c>
      <c r="O62" s="48">
        <v>-3334.3033329999998</v>
      </c>
      <c r="P62" s="54">
        <v>-1</v>
      </c>
    </row>
    <row r="63" spans="1:16" ht="14.25" customHeight="1" x14ac:dyDescent="0.25">
      <c r="A63" s="44" t="s">
        <v>38</v>
      </c>
      <c r="B63" s="45" t="s">
        <v>104</v>
      </c>
      <c r="C63" s="46" t="s">
        <v>105</v>
      </c>
      <c r="D63" s="47">
        <v>15385312</v>
      </c>
      <c r="E63" s="47">
        <v>0</v>
      </c>
      <c r="F63" s="47">
        <v>15385312</v>
      </c>
      <c r="G63" s="47">
        <v>3413985.65</v>
      </c>
      <c r="H63" s="47">
        <v>1682142.22</v>
      </c>
      <c r="I63" s="47">
        <v>5096127.87</v>
      </c>
      <c r="J63" s="47">
        <v>10289184.130000001</v>
      </c>
      <c r="K63" s="49">
        <v>0.33123331330557354</v>
      </c>
      <c r="L63" s="47">
        <v>12801874.276663</v>
      </c>
      <c r="M63" s="47">
        <v>3012489</v>
      </c>
      <c r="N63" s="47">
        <v>15814363.276663</v>
      </c>
      <c r="O63" s="48">
        <v>-2111193.496663</v>
      </c>
      <c r="P63" s="50">
        <v>1.1372213638997377</v>
      </c>
    </row>
    <row r="64" spans="1:16" ht="14.25" customHeight="1" x14ac:dyDescent="0.25">
      <c r="A64" s="44" t="s">
        <v>38</v>
      </c>
      <c r="B64" s="45" t="s">
        <v>97</v>
      </c>
      <c r="C64" s="46" t="s">
        <v>98</v>
      </c>
      <c r="D64" s="47">
        <v>8895827</v>
      </c>
      <c r="E64" s="47">
        <v>0</v>
      </c>
      <c r="F64" s="47">
        <v>8895827</v>
      </c>
      <c r="G64" s="47">
        <v>573073.41</v>
      </c>
      <c r="H64" s="47">
        <v>249871.35999999999</v>
      </c>
      <c r="I64" s="47">
        <v>822944.77</v>
      </c>
      <c r="J64" s="47">
        <v>8072882.2300000004</v>
      </c>
      <c r="K64" s="49">
        <v>9.250907981911069E-2</v>
      </c>
      <c r="L64" s="47">
        <v>6275040.983329</v>
      </c>
      <c r="M64" s="47">
        <v>1960046</v>
      </c>
      <c r="N64" s="47">
        <v>8235086.983329</v>
      </c>
      <c r="O64" s="47">
        <v>410868.656671</v>
      </c>
      <c r="P64" s="50">
        <v>0.95381332655513651</v>
      </c>
    </row>
    <row r="65" spans="1:16" ht="14.25" customHeight="1" x14ac:dyDescent="0.25">
      <c r="A65" s="44" t="s">
        <v>38</v>
      </c>
      <c r="B65" s="45" t="s">
        <v>123</v>
      </c>
      <c r="C65" s="46" t="s">
        <v>124</v>
      </c>
      <c r="D65" s="47">
        <v>1059616</v>
      </c>
      <c r="E65" s="47">
        <v>0</v>
      </c>
      <c r="F65" s="47">
        <v>1059616</v>
      </c>
      <c r="G65" s="47">
        <v>169923.74</v>
      </c>
      <c r="H65" s="47">
        <v>2396.9699999999998</v>
      </c>
      <c r="I65" s="47">
        <v>172320.71</v>
      </c>
      <c r="J65" s="47">
        <v>887295.29</v>
      </c>
      <c r="K65" s="49">
        <v>0.16262562097967564</v>
      </c>
      <c r="L65" s="47">
        <v>511095.09666400001</v>
      </c>
      <c r="M65" s="47">
        <v>382875</v>
      </c>
      <c r="N65" s="47">
        <v>893970.09666399995</v>
      </c>
      <c r="O65" s="47">
        <v>163248.93333599999</v>
      </c>
      <c r="P65" s="50">
        <v>0.84593576037356932</v>
      </c>
    </row>
    <row r="66" spans="1:16" ht="14.25" customHeight="1" x14ac:dyDescent="0.25">
      <c r="A66" s="44" t="s">
        <v>38</v>
      </c>
      <c r="B66" s="45" t="s">
        <v>123</v>
      </c>
      <c r="C66" s="46" t="s">
        <v>125</v>
      </c>
      <c r="D66" s="47">
        <v>618000</v>
      </c>
      <c r="E66" s="47">
        <v>0</v>
      </c>
      <c r="F66" s="47">
        <v>618000</v>
      </c>
      <c r="G66" s="47">
        <v>132444.85</v>
      </c>
      <c r="H66" s="47">
        <v>54971.899999000001</v>
      </c>
      <c r="I66" s="47">
        <v>187416.74999899999</v>
      </c>
      <c r="J66" s="47">
        <v>430583.25000100001</v>
      </c>
      <c r="K66" s="49">
        <v>0.30326334951294498</v>
      </c>
      <c r="L66" s="47">
        <v>326971.46000000002</v>
      </c>
      <c r="M66" s="47">
        <v>199399</v>
      </c>
      <c r="N66" s="47">
        <v>526370.46</v>
      </c>
      <c r="O66" s="47">
        <v>36657.640001</v>
      </c>
      <c r="P66" s="50">
        <v>0.94068343041909386</v>
      </c>
    </row>
    <row r="67" spans="1:16" ht="14.25" customHeight="1" x14ac:dyDescent="0.25">
      <c r="A67" s="44" t="s">
        <v>38</v>
      </c>
      <c r="B67" s="45" t="s">
        <v>143</v>
      </c>
      <c r="C67" s="46" t="s">
        <v>74</v>
      </c>
      <c r="D67" s="47">
        <v>1108632</v>
      </c>
      <c r="E67" s="47">
        <v>0</v>
      </c>
      <c r="F67" s="47">
        <v>1108632</v>
      </c>
      <c r="G67" s="47">
        <v>223546.68</v>
      </c>
      <c r="H67" s="47">
        <v>0</v>
      </c>
      <c r="I67" s="47">
        <v>223546.68</v>
      </c>
      <c r="J67" s="47">
        <v>885085.32</v>
      </c>
      <c r="K67" s="49">
        <v>0.2016419154417336</v>
      </c>
      <c r="L67" s="47">
        <v>754999.89666500001</v>
      </c>
      <c r="M67" s="47">
        <v>288101</v>
      </c>
      <c r="N67" s="47">
        <v>1043100.896665</v>
      </c>
      <c r="O67" s="47">
        <v>65531.103335</v>
      </c>
      <c r="P67" s="50">
        <v>0.94089012103655678</v>
      </c>
    </row>
    <row r="68" spans="1:16" ht="14.25" customHeight="1" x14ac:dyDescent="0.25">
      <c r="A68" s="44" t="s">
        <v>38</v>
      </c>
      <c r="B68" s="45" t="s">
        <v>143</v>
      </c>
      <c r="C68" s="46" t="s">
        <v>75</v>
      </c>
      <c r="D68" s="47">
        <v>45000</v>
      </c>
      <c r="E68" s="47">
        <v>0</v>
      </c>
      <c r="F68" s="47">
        <v>45000</v>
      </c>
      <c r="G68" s="47">
        <v>15965.3</v>
      </c>
      <c r="H68" s="47">
        <v>60602</v>
      </c>
      <c r="I68" s="47">
        <v>76567.3</v>
      </c>
      <c r="J68" s="48">
        <v>-31567.3</v>
      </c>
      <c r="K68" s="49">
        <v>1.7014955555555555</v>
      </c>
      <c r="L68" s="47">
        <v>28071.896667000001</v>
      </c>
      <c r="M68" s="47">
        <v>60000</v>
      </c>
      <c r="N68" s="47">
        <v>88071.896666999994</v>
      </c>
      <c r="O68" s="48">
        <v>-103673.89666699999</v>
      </c>
      <c r="P68" s="50">
        <v>3.3038643703777777</v>
      </c>
    </row>
    <row r="69" spans="1:16" ht="14.25" customHeight="1" x14ac:dyDescent="0.25">
      <c r="A69" s="44" t="s">
        <v>38</v>
      </c>
      <c r="B69" s="45" t="s">
        <v>143</v>
      </c>
      <c r="C69" s="46" t="s">
        <v>76</v>
      </c>
      <c r="D69" s="47">
        <v>4550619</v>
      </c>
      <c r="E69" s="47">
        <v>0</v>
      </c>
      <c r="F69" s="47">
        <v>4550619</v>
      </c>
      <c r="G69" s="47">
        <v>656901.48</v>
      </c>
      <c r="H69" s="47">
        <v>228859.87</v>
      </c>
      <c r="I69" s="47">
        <v>885761.35</v>
      </c>
      <c r="J69" s="47">
        <v>3664857.65</v>
      </c>
      <c r="K69" s="49">
        <v>0.19464634371719539</v>
      </c>
      <c r="L69" s="47">
        <v>2628687.5966500002</v>
      </c>
      <c r="M69" s="47">
        <v>1000000</v>
      </c>
      <c r="N69" s="47">
        <v>3628687.5966500002</v>
      </c>
      <c r="O69" s="47">
        <v>693071.53335000004</v>
      </c>
      <c r="P69" s="50">
        <v>0.84769730593793946</v>
      </c>
    </row>
    <row r="70" spans="1:16" ht="14.25" customHeight="1" x14ac:dyDescent="0.25">
      <c r="A70" s="44" t="s">
        <v>38</v>
      </c>
      <c r="B70" s="45" t="s">
        <v>143</v>
      </c>
      <c r="C70" s="46" t="s">
        <v>77</v>
      </c>
      <c r="D70" s="47">
        <v>180759</v>
      </c>
      <c r="E70" s="47">
        <v>0</v>
      </c>
      <c r="F70" s="47">
        <v>180759</v>
      </c>
      <c r="G70" s="47">
        <v>68479.61</v>
      </c>
      <c r="H70" s="47">
        <v>0</v>
      </c>
      <c r="I70" s="47">
        <v>68479.61</v>
      </c>
      <c r="J70" s="47">
        <v>112279.39</v>
      </c>
      <c r="K70" s="49">
        <v>0.37884481547253523</v>
      </c>
      <c r="L70" s="47">
        <v>71632.646666000001</v>
      </c>
      <c r="M70" s="47">
        <v>90000</v>
      </c>
      <c r="N70" s="47">
        <v>161632.64666599999</v>
      </c>
      <c r="O70" s="47">
        <v>19126.353333999999</v>
      </c>
      <c r="P70" s="50">
        <v>0.89418865265906533</v>
      </c>
    </row>
    <row r="71" spans="1:16" ht="14.25" customHeight="1" x14ac:dyDescent="0.25">
      <c r="A71" s="44" t="s">
        <v>38</v>
      </c>
      <c r="B71" s="45" t="s">
        <v>39</v>
      </c>
      <c r="C71" s="46" t="s">
        <v>40</v>
      </c>
      <c r="D71" s="47">
        <v>158666757</v>
      </c>
      <c r="E71" s="47">
        <v>20084321</v>
      </c>
      <c r="F71" s="47">
        <v>178751078</v>
      </c>
      <c r="G71" s="47">
        <v>42194737.149999999</v>
      </c>
      <c r="H71" s="47">
        <v>2243941.739997</v>
      </c>
      <c r="I71" s="47">
        <v>44438678.889996998</v>
      </c>
      <c r="J71" s="47">
        <v>134312399.11000299</v>
      </c>
      <c r="K71" s="49">
        <v>0.24860649450179539</v>
      </c>
      <c r="L71" s="47">
        <v>152886842.246584</v>
      </c>
      <c r="M71" s="47">
        <v>9809209</v>
      </c>
      <c r="N71" s="47">
        <v>162696051.246584</v>
      </c>
      <c r="O71" s="47">
        <v>13811085.013419</v>
      </c>
      <c r="P71" s="50">
        <v>0.92273565469955376</v>
      </c>
    </row>
    <row r="72" spans="1:16" ht="14.25" customHeight="1" x14ac:dyDescent="0.25">
      <c r="A72" s="44" t="s">
        <v>38</v>
      </c>
      <c r="B72" s="45" t="s">
        <v>99</v>
      </c>
      <c r="C72" s="46" t="s">
        <v>100</v>
      </c>
      <c r="D72" s="47">
        <v>6697245</v>
      </c>
      <c r="E72" s="47">
        <v>15894</v>
      </c>
      <c r="F72" s="47">
        <v>6713139</v>
      </c>
      <c r="G72" s="47">
        <v>1442786.98</v>
      </c>
      <c r="H72" s="47">
        <v>203468.33</v>
      </c>
      <c r="I72" s="47">
        <v>1646255.31</v>
      </c>
      <c r="J72" s="47">
        <v>5066883.6900000004</v>
      </c>
      <c r="K72" s="49">
        <v>0.24522884301963657</v>
      </c>
      <c r="L72" s="47">
        <v>6000917.9633309999</v>
      </c>
      <c r="M72" s="47">
        <v>0</v>
      </c>
      <c r="N72" s="47">
        <v>6000917.9633309999</v>
      </c>
      <c r="O72" s="47">
        <v>508752.70666899998</v>
      </c>
      <c r="P72" s="50">
        <v>0.92421537723723579</v>
      </c>
    </row>
    <row r="73" spans="1:16" ht="14.25" customHeight="1" x14ac:dyDescent="0.25">
      <c r="A73" s="44" t="s">
        <v>38</v>
      </c>
      <c r="B73" s="45" t="s">
        <v>99</v>
      </c>
      <c r="C73" s="46" t="s">
        <v>101</v>
      </c>
      <c r="D73" s="47">
        <v>368780</v>
      </c>
      <c r="E73" s="47">
        <v>0</v>
      </c>
      <c r="F73" s="47">
        <v>368780</v>
      </c>
      <c r="G73" s="47">
        <v>77765.210000000006</v>
      </c>
      <c r="H73" s="47">
        <v>102462.11</v>
      </c>
      <c r="I73" s="47">
        <v>180227.32</v>
      </c>
      <c r="J73" s="47">
        <v>188552.68</v>
      </c>
      <c r="K73" s="49">
        <v>0.48871229459298227</v>
      </c>
      <c r="L73" s="47">
        <v>357675.61666499998</v>
      </c>
      <c r="M73" s="47">
        <v>0</v>
      </c>
      <c r="N73" s="47">
        <v>357675.61666499998</v>
      </c>
      <c r="O73" s="48">
        <v>-91357.726664999995</v>
      </c>
      <c r="P73" s="50">
        <v>1.2477296129535225</v>
      </c>
    </row>
    <row r="74" spans="1:16" ht="14.25" customHeight="1" x14ac:dyDescent="0.25">
      <c r="A74" s="44" t="s">
        <v>38</v>
      </c>
      <c r="B74" s="45" t="s">
        <v>95</v>
      </c>
      <c r="C74" s="46" t="s">
        <v>96</v>
      </c>
      <c r="D74" s="47">
        <v>3246641</v>
      </c>
      <c r="E74" s="47">
        <v>0</v>
      </c>
      <c r="F74" s="47">
        <v>3246641</v>
      </c>
      <c r="G74" s="47">
        <v>575414.6</v>
      </c>
      <c r="H74" s="47">
        <v>7379.54</v>
      </c>
      <c r="I74" s="47">
        <v>582794.14</v>
      </c>
      <c r="J74" s="47">
        <v>2663846.86</v>
      </c>
      <c r="K74" s="49">
        <v>0.17950680102912517</v>
      </c>
      <c r="L74" s="47">
        <v>2281132.009999</v>
      </c>
      <c r="M74" s="47">
        <v>0</v>
      </c>
      <c r="N74" s="47">
        <v>2281132.009999</v>
      </c>
      <c r="O74" s="47">
        <v>958129.45000099996</v>
      </c>
      <c r="P74" s="50">
        <v>0.70488592671595041</v>
      </c>
    </row>
    <row r="75" spans="1:16" ht="14.25" customHeight="1" x14ac:dyDescent="0.25">
      <c r="A75" s="44" t="s">
        <v>38</v>
      </c>
      <c r="B75" s="52" t="s">
        <v>144</v>
      </c>
      <c r="C75" s="46" t="s">
        <v>110</v>
      </c>
      <c r="D75" s="47">
        <v>139000</v>
      </c>
      <c r="E75" s="47">
        <v>80620</v>
      </c>
      <c r="F75" s="47">
        <v>219620</v>
      </c>
      <c r="G75" s="47">
        <v>15878.17</v>
      </c>
      <c r="H75" s="47">
        <v>1753.71</v>
      </c>
      <c r="I75" s="47">
        <v>17631.88</v>
      </c>
      <c r="J75" s="47">
        <v>201988.12</v>
      </c>
      <c r="K75" s="49">
        <v>8.0283580730352425E-2</v>
      </c>
      <c r="L75" s="47">
        <v>139326.67333200001</v>
      </c>
      <c r="M75" s="47">
        <v>0</v>
      </c>
      <c r="N75" s="47">
        <v>139326.67333200001</v>
      </c>
      <c r="O75" s="47">
        <v>78539.616668000002</v>
      </c>
      <c r="P75" s="50">
        <v>0.64238404212731082</v>
      </c>
    </row>
    <row r="76" spans="1:16" ht="14.25" customHeight="1" x14ac:dyDescent="0.25">
      <c r="A76" s="44" t="s">
        <v>38</v>
      </c>
      <c r="B76" s="45" t="s">
        <v>111</v>
      </c>
      <c r="C76" s="46" t="s">
        <v>112</v>
      </c>
      <c r="D76" s="47">
        <v>392712</v>
      </c>
      <c r="E76" s="47">
        <v>0</v>
      </c>
      <c r="F76" s="47">
        <v>392712</v>
      </c>
      <c r="G76" s="47">
        <v>107743.18</v>
      </c>
      <c r="H76" s="47">
        <v>153819.26999999999</v>
      </c>
      <c r="I76" s="47">
        <v>261562.45</v>
      </c>
      <c r="J76" s="47">
        <v>131149.54999999999</v>
      </c>
      <c r="K76" s="49">
        <v>0.66604139929515782</v>
      </c>
      <c r="L76" s="47">
        <v>361396.68</v>
      </c>
      <c r="M76" s="47">
        <v>0</v>
      </c>
      <c r="N76" s="47">
        <v>361396.68</v>
      </c>
      <c r="O76" s="48">
        <v>-122503.95</v>
      </c>
      <c r="P76" s="50">
        <v>1.3119434853022063</v>
      </c>
    </row>
    <row r="77" spans="1:16" ht="14.25" customHeight="1" x14ac:dyDescent="0.25">
      <c r="A77" s="44" t="s">
        <v>38</v>
      </c>
      <c r="B77" s="45" t="s">
        <v>106</v>
      </c>
      <c r="C77" s="46" t="s">
        <v>108</v>
      </c>
      <c r="D77" s="47">
        <v>674097</v>
      </c>
      <c r="E77" s="47">
        <v>0</v>
      </c>
      <c r="F77" s="47">
        <v>674097</v>
      </c>
      <c r="G77" s="47">
        <v>45469.79</v>
      </c>
      <c r="H77" s="47">
        <v>0</v>
      </c>
      <c r="I77" s="47">
        <v>45469.79</v>
      </c>
      <c r="J77" s="47">
        <v>628627.21</v>
      </c>
      <c r="K77" s="49">
        <v>6.7452888827572291E-2</v>
      </c>
      <c r="L77" s="47">
        <v>288564.313333</v>
      </c>
      <c r="M77" s="47">
        <v>350000</v>
      </c>
      <c r="N77" s="47">
        <v>638564.31333300006</v>
      </c>
      <c r="O77" s="47">
        <v>35532.686667000002</v>
      </c>
      <c r="P77" s="50">
        <v>0.94728846639726927</v>
      </c>
    </row>
    <row r="78" spans="1:16" ht="14.25" customHeight="1" x14ac:dyDescent="0.25">
      <c r="A78" s="44" t="s">
        <v>38</v>
      </c>
      <c r="B78" s="45" t="s">
        <v>83</v>
      </c>
      <c r="C78" s="46" t="s">
        <v>84</v>
      </c>
      <c r="D78" s="47">
        <v>2994524</v>
      </c>
      <c r="E78" s="47">
        <v>0</v>
      </c>
      <c r="F78" s="47">
        <v>2994524</v>
      </c>
      <c r="G78" s="47">
        <v>861730.32</v>
      </c>
      <c r="H78" s="47">
        <v>9940.69</v>
      </c>
      <c r="I78" s="47">
        <v>871671.01</v>
      </c>
      <c r="J78" s="47">
        <v>2122852.9900000002</v>
      </c>
      <c r="K78" s="49">
        <v>0.29108833657703193</v>
      </c>
      <c r="L78" s="47">
        <v>3434165.729996</v>
      </c>
      <c r="M78" s="48">
        <v>-727230</v>
      </c>
      <c r="N78" s="47">
        <v>2706935.729996</v>
      </c>
      <c r="O78" s="47">
        <v>277647.58000399999</v>
      </c>
      <c r="P78" s="50">
        <v>0.90728156461460985</v>
      </c>
    </row>
    <row r="79" spans="1:16" ht="14.25" customHeight="1" x14ac:dyDescent="0.25">
      <c r="A79" s="44" t="s">
        <v>38</v>
      </c>
      <c r="B79" s="45" t="s">
        <v>83</v>
      </c>
      <c r="C79" s="46" t="s">
        <v>86</v>
      </c>
      <c r="D79" s="47">
        <v>13500</v>
      </c>
      <c r="E79" s="47">
        <v>0</v>
      </c>
      <c r="F79" s="47">
        <v>13500</v>
      </c>
      <c r="G79" s="47">
        <v>0</v>
      </c>
      <c r="H79" s="47">
        <v>0</v>
      </c>
      <c r="I79" s="47">
        <v>0</v>
      </c>
      <c r="J79" s="47">
        <v>13500</v>
      </c>
      <c r="K79" s="49">
        <v>0</v>
      </c>
      <c r="L79" s="47">
        <v>0</v>
      </c>
      <c r="M79" s="47">
        <v>13500</v>
      </c>
      <c r="N79" s="47">
        <v>13500</v>
      </c>
      <c r="O79" s="47">
        <v>0</v>
      </c>
      <c r="P79" s="50">
        <v>1</v>
      </c>
    </row>
    <row r="80" spans="1:16" ht="14.25" customHeight="1" x14ac:dyDescent="0.25">
      <c r="A80" s="44" t="s">
        <v>38</v>
      </c>
      <c r="B80" s="45" t="s">
        <v>83</v>
      </c>
      <c r="C80" s="46" t="s">
        <v>87</v>
      </c>
      <c r="D80" s="47">
        <v>1184877</v>
      </c>
      <c r="E80" s="47">
        <v>0</v>
      </c>
      <c r="F80" s="47">
        <v>1184877</v>
      </c>
      <c r="G80" s="47">
        <v>156285.25</v>
      </c>
      <c r="H80" s="47">
        <v>0</v>
      </c>
      <c r="I80" s="47">
        <v>156285.25</v>
      </c>
      <c r="J80" s="47">
        <v>1028591.75</v>
      </c>
      <c r="K80" s="49">
        <v>0.13189997780360324</v>
      </c>
      <c r="L80" s="47">
        <v>1230890.513333</v>
      </c>
      <c r="M80" s="48">
        <v>-128133</v>
      </c>
      <c r="N80" s="47">
        <v>1102757.513333</v>
      </c>
      <c r="O80" s="47">
        <v>82119.486667000005</v>
      </c>
      <c r="P80" s="50">
        <v>0.93069366131083653</v>
      </c>
    </row>
    <row r="81" spans="1:16" ht="14.25" customHeight="1" x14ac:dyDescent="0.25">
      <c r="A81" s="44" t="s">
        <v>38</v>
      </c>
      <c r="B81" s="45" t="s">
        <v>83</v>
      </c>
      <c r="C81" s="46" t="s">
        <v>88</v>
      </c>
      <c r="D81" s="47">
        <v>8162</v>
      </c>
      <c r="E81" s="47">
        <v>0</v>
      </c>
      <c r="F81" s="47">
        <v>8162</v>
      </c>
      <c r="G81" s="47">
        <v>0</v>
      </c>
      <c r="H81" s="47">
        <v>0</v>
      </c>
      <c r="I81" s="47">
        <v>0</v>
      </c>
      <c r="J81" s="47">
        <v>8162</v>
      </c>
      <c r="K81" s="49">
        <v>0</v>
      </c>
      <c r="L81" s="47">
        <v>0</v>
      </c>
      <c r="M81" s="47">
        <v>8162</v>
      </c>
      <c r="N81" s="47">
        <v>8162</v>
      </c>
      <c r="O81" s="47">
        <v>0</v>
      </c>
      <c r="P81" s="50">
        <v>1</v>
      </c>
    </row>
    <row r="82" spans="1:16" ht="14.25" customHeight="1" x14ac:dyDescent="0.25">
      <c r="A82" s="44" t="s">
        <v>38</v>
      </c>
      <c r="B82" s="45" t="s">
        <v>83</v>
      </c>
      <c r="C82" s="46" t="s">
        <v>89</v>
      </c>
      <c r="D82" s="47">
        <v>442444</v>
      </c>
      <c r="E82" s="47">
        <v>0</v>
      </c>
      <c r="F82" s="47">
        <v>442444</v>
      </c>
      <c r="G82" s="47">
        <v>17520.259999999998</v>
      </c>
      <c r="H82" s="47">
        <v>0</v>
      </c>
      <c r="I82" s="47">
        <v>17520.259999999998</v>
      </c>
      <c r="J82" s="47">
        <v>424923.74</v>
      </c>
      <c r="K82" s="49">
        <v>3.9598819285604506E-2</v>
      </c>
      <c r="L82" s="47">
        <v>330139.40999800002</v>
      </c>
      <c r="M82" s="47">
        <v>0</v>
      </c>
      <c r="N82" s="47">
        <v>330139.40999800002</v>
      </c>
      <c r="O82" s="47">
        <v>112304.590002</v>
      </c>
      <c r="P82" s="50">
        <v>0.7461721935386173</v>
      </c>
    </row>
    <row r="83" spans="1:16" ht="14.25" customHeight="1" x14ac:dyDescent="0.25">
      <c r="A83" s="44" t="s">
        <v>38</v>
      </c>
      <c r="B83" s="45" t="s">
        <v>83</v>
      </c>
      <c r="C83" s="46" t="s">
        <v>90</v>
      </c>
      <c r="D83" s="47">
        <v>64255</v>
      </c>
      <c r="E83" s="47">
        <v>0</v>
      </c>
      <c r="F83" s="47">
        <v>64255</v>
      </c>
      <c r="G83" s="47">
        <v>0</v>
      </c>
      <c r="H83" s="47">
        <v>0</v>
      </c>
      <c r="I83" s="47">
        <v>0</v>
      </c>
      <c r="J83" s="47">
        <v>64255</v>
      </c>
      <c r="K83" s="49">
        <v>0</v>
      </c>
      <c r="L83" s="47">
        <v>0</v>
      </c>
      <c r="M83" s="47">
        <v>63000</v>
      </c>
      <c r="N83" s="47">
        <v>63000</v>
      </c>
      <c r="O83" s="47">
        <v>1255</v>
      </c>
      <c r="P83" s="50">
        <v>0.98046844603532801</v>
      </c>
    </row>
    <row r="84" spans="1:16" ht="14.25" customHeight="1" x14ac:dyDescent="0.25">
      <c r="A84" s="44" t="s">
        <v>38</v>
      </c>
      <c r="B84" s="45" t="s">
        <v>83</v>
      </c>
      <c r="C84" s="46" t="s">
        <v>91</v>
      </c>
      <c r="D84" s="47">
        <v>0</v>
      </c>
      <c r="E84" s="47">
        <v>721655</v>
      </c>
      <c r="F84" s="47">
        <v>721655</v>
      </c>
      <c r="G84" s="47">
        <v>4887.3999999999996</v>
      </c>
      <c r="H84" s="47">
        <v>0</v>
      </c>
      <c r="I84" s="47">
        <v>4887.3999999999996</v>
      </c>
      <c r="J84" s="47">
        <v>716767.6</v>
      </c>
      <c r="K84" s="49">
        <v>6.772488238839889E-3</v>
      </c>
      <c r="L84" s="47">
        <v>9314.0199990000001</v>
      </c>
      <c r="M84" s="47">
        <v>0</v>
      </c>
      <c r="N84" s="47">
        <v>9314.0199990000001</v>
      </c>
      <c r="O84" s="47">
        <v>712340.98000099999</v>
      </c>
      <c r="P84" s="50">
        <v>1.2906471927721696E-2</v>
      </c>
    </row>
    <row r="85" spans="1:16" ht="14.25" customHeight="1" x14ac:dyDescent="0.25">
      <c r="A85" s="44" t="s">
        <v>38</v>
      </c>
      <c r="B85" s="45" t="s">
        <v>102</v>
      </c>
      <c r="C85" s="46" t="s">
        <v>103</v>
      </c>
      <c r="D85" s="47">
        <v>367000</v>
      </c>
      <c r="E85" s="47">
        <v>0</v>
      </c>
      <c r="F85" s="47">
        <v>367000</v>
      </c>
      <c r="G85" s="47">
        <v>12118.67</v>
      </c>
      <c r="H85" s="47">
        <v>0</v>
      </c>
      <c r="I85" s="47">
        <v>12118.67</v>
      </c>
      <c r="J85" s="47">
        <v>354881.33</v>
      </c>
      <c r="K85" s="49">
        <v>3.3020899182561306E-2</v>
      </c>
      <c r="L85" s="47">
        <v>25126.316665999999</v>
      </c>
      <c r="M85" s="47">
        <v>327977</v>
      </c>
      <c r="N85" s="47">
        <v>353103.316666</v>
      </c>
      <c r="O85" s="47">
        <v>13896.683333999999</v>
      </c>
      <c r="P85" s="50">
        <v>0.96213437783651223</v>
      </c>
    </row>
    <row r="86" spans="1:16" ht="14.25" customHeight="1" x14ac:dyDescent="0.25">
      <c r="A86" s="44" t="s">
        <v>38</v>
      </c>
      <c r="B86" s="45" t="s">
        <v>15</v>
      </c>
      <c r="C86" s="46" t="s">
        <v>92</v>
      </c>
      <c r="D86" s="47">
        <v>879583</v>
      </c>
      <c r="E86" s="47">
        <v>0</v>
      </c>
      <c r="F86" s="47">
        <v>879583</v>
      </c>
      <c r="G86" s="47">
        <v>188606.01</v>
      </c>
      <c r="H86" s="47">
        <v>17460</v>
      </c>
      <c r="I86" s="47">
        <v>206066.01</v>
      </c>
      <c r="J86" s="47">
        <v>673516.99</v>
      </c>
      <c r="K86" s="49">
        <v>0.23427693577524805</v>
      </c>
      <c r="L86" s="47">
        <v>842960.07333200006</v>
      </c>
      <c r="M86" s="47">
        <v>19000</v>
      </c>
      <c r="N86" s="47">
        <v>861960.07333200006</v>
      </c>
      <c r="O86" s="47">
        <v>162.92666800000001</v>
      </c>
      <c r="P86" s="50">
        <v>0.99981476828451665</v>
      </c>
    </row>
    <row r="87" spans="1:16" ht="14.25" customHeight="1" x14ac:dyDescent="0.25">
      <c r="A87" s="44" t="s">
        <v>38</v>
      </c>
      <c r="B87" s="45" t="s">
        <v>15</v>
      </c>
      <c r="C87" s="46" t="s">
        <v>93</v>
      </c>
      <c r="D87" s="47">
        <v>98792</v>
      </c>
      <c r="E87" s="47">
        <v>0</v>
      </c>
      <c r="F87" s="47">
        <v>98792</v>
      </c>
      <c r="G87" s="47">
        <v>21700.44</v>
      </c>
      <c r="H87" s="47">
        <v>10625</v>
      </c>
      <c r="I87" s="47">
        <v>32325.439999999999</v>
      </c>
      <c r="J87" s="47">
        <v>66466.559999999998</v>
      </c>
      <c r="K87" s="49">
        <v>0.32720706130051014</v>
      </c>
      <c r="L87" s="47">
        <v>93575.47</v>
      </c>
      <c r="M87" s="47">
        <v>0</v>
      </c>
      <c r="N87" s="47">
        <v>93575.47</v>
      </c>
      <c r="O87" s="48">
        <v>-5408.47</v>
      </c>
      <c r="P87" s="50">
        <v>1.0547460320673738</v>
      </c>
    </row>
    <row r="88" spans="1:16" ht="14.25" customHeight="1" x14ac:dyDescent="0.25">
      <c r="A88" s="44" t="s">
        <v>38</v>
      </c>
      <c r="B88" s="45" t="s">
        <v>15</v>
      </c>
      <c r="C88" s="46" t="s">
        <v>94</v>
      </c>
      <c r="D88" s="47">
        <v>201400</v>
      </c>
      <c r="E88" s="47">
        <v>0</v>
      </c>
      <c r="F88" s="47">
        <v>201400</v>
      </c>
      <c r="G88" s="47">
        <v>35845.79</v>
      </c>
      <c r="H88" s="47">
        <v>774.03</v>
      </c>
      <c r="I88" s="47">
        <v>36619.82</v>
      </c>
      <c r="J88" s="47">
        <v>164780.18</v>
      </c>
      <c r="K88" s="49">
        <v>0.1818263157894737</v>
      </c>
      <c r="L88" s="47">
        <v>45096.35</v>
      </c>
      <c r="M88" s="47">
        <v>160000</v>
      </c>
      <c r="N88" s="47">
        <v>205096.35</v>
      </c>
      <c r="O88" s="48">
        <v>-4470.38</v>
      </c>
      <c r="P88" s="50">
        <v>1.0221965243296922</v>
      </c>
    </row>
    <row r="89" spans="1:16" ht="14.25" customHeight="1" x14ac:dyDescent="0.25">
      <c r="A89" s="44" t="s">
        <v>38</v>
      </c>
      <c r="B89" s="45" t="s">
        <v>120</v>
      </c>
      <c r="C89" s="46" t="s">
        <v>121</v>
      </c>
      <c r="D89" s="47">
        <v>74713</v>
      </c>
      <c r="E89" s="47">
        <v>0</v>
      </c>
      <c r="F89" s="47">
        <v>74713</v>
      </c>
      <c r="G89" s="47">
        <v>20676.21</v>
      </c>
      <c r="H89" s="47">
        <v>15956.68</v>
      </c>
      <c r="I89" s="47">
        <v>36632.89</v>
      </c>
      <c r="J89" s="47">
        <v>38080.11</v>
      </c>
      <c r="K89" s="49">
        <v>0.49031480465247013</v>
      </c>
      <c r="L89" s="47">
        <v>55066.53</v>
      </c>
      <c r="M89" s="47">
        <v>20000</v>
      </c>
      <c r="N89" s="47">
        <v>75066.53</v>
      </c>
      <c r="O89" s="48">
        <v>-16310.21</v>
      </c>
      <c r="P89" s="50">
        <v>1.2183048465461164</v>
      </c>
    </row>
    <row r="90" spans="1:16" ht="14.25" customHeight="1" x14ac:dyDescent="0.25">
      <c r="A90" s="44" t="s">
        <v>38</v>
      </c>
      <c r="B90" s="45" t="s">
        <v>120</v>
      </c>
      <c r="C90" s="46" t="s">
        <v>122</v>
      </c>
      <c r="D90" s="47">
        <v>969000</v>
      </c>
      <c r="E90" s="47">
        <v>0</v>
      </c>
      <c r="F90" s="47">
        <v>969000</v>
      </c>
      <c r="G90" s="47">
        <v>116755.62</v>
      </c>
      <c r="H90" s="47">
        <v>3473.3</v>
      </c>
      <c r="I90" s="47">
        <v>120228.92</v>
      </c>
      <c r="J90" s="47">
        <v>848771.08</v>
      </c>
      <c r="K90" s="49">
        <v>0.1240752528379773</v>
      </c>
      <c r="L90" s="47">
        <v>516414.89666500001</v>
      </c>
      <c r="M90" s="47">
        <v>200000</v>
      </c>
      <c r="N90" s="47">
        <v>716414.89666500001</v>
      </c>
      <c r="O90" s="47">
        <v>249111.803335</v>
      </c>
      <c r="P90" s="50">
        <v>0.74291867560887515</v>
      </c>
    </row>
    <row r="91" spans="1:16" ht="14.25" customHeight="1" x14ac:dyDescent="0.25">
      <c r="A91" s="44" t="s">
        <v>38</v>
      </c>
      <c r="B91" s="45" t="s">
        <v>113</v>
      </c>
      <c r="C91" s="46" t="s">
        <v>115</v>
      </c>
      <c r="D91" s="47">
        <v>30000</v>
      </c>
      <c r="E91" s="47">
        <v>0</v>
      </c>
      <c r="F91" s="47">
        <v>30000</v>
      </c>
      <c r="G91" s="47">
        <v>9500</v>
      </c>
      <c r="H91" s="47">
        <v>0</v>
      </c>
      <c r="I91" s="47">
        <v>9500</v>
      </c>
      <c r="J91" s="47">
        <v>20500</v>
      </c>
      <c r="K91" s="49">
        <v>0.31666666666666665</v>
      </c>
      <c r="L91" s="47">
        <v>22000</v>
      </c>
      <c r="M91" s="47">
        <v>0</v>
      </c>
      <c r="N91" s="47">
        <v>22000</v>
      </c>
      <c r="O91" s="47">
        <v>8000</v>
      </c>
      <c r="P91" s="50">
        <v>0.73333333333333328</v>
      </c>
    </row>
    <row r="92" spans="1:16" ht="14.25" customHeight="1" x14ac:dyDescent="0.25">
      <c r="A92" s="44" t="s">
        <v>38</v>
      </c>
      <c r="B92" s="45" t="s">
        <v>113</v>
      </c>
      <c r="C92" s="46" t="s">
        <v>116</v>
      </c>
      <c r="D92" s="47">
        <v>756000</v>
      </c>
      <c r="E92" s="47">
        <v>200227</v>
      </c>
      <c r="F92" s="47">
        <v>956227</v>
      </c>
      <c r="G92" s="47">
        <v>174639.68</v>
      </c>
      <c r="H92" s="47">
        <v>16033</v>
      </c>
      <c r="I92" s="47">
        <v>190672.68</v>
      </c>
      <c r="J92" s="47">
        <v>765554.32</v>
      </c>
      <c r="K92" s="49">
        <v>0.19940106271837127</v>
      </c>
      <c r="L92" s="47">
        <v>631349.61333299999</v>
      </c>
      <c r="M92" s="47">
        <v>0</v>
      </c>
      <c r="N92" s="47">
        <v>631349.61333299999</v>
      </c>
      <c r="O92" s="47">
        <v>308844.38666700001</v>
      </c>
      <c r="P92" s="50">
        <v>0.67701770953235996</v>
      </c>
    </row>
    <row r="93" spans="1:16" ht="14.25" customHeight="1" x14ac:dyDescent="0.25">
      <c r="A93" s="44" t="s">
        <v>38</v>
      </c>
      <c r="B93" s="45" t="s">
        <v>113</v>
      </c>
      <c r="C93" s="46" t="s">
        <v>117</v>
      </c>
      <c r="D93" s="47">
        <v>100000</v>
      </c>
      <c r="E93" s="47">
        <v>313770</v>
      </c>
      <c r="F93" s="47">
        <v>413770</v>
      </c>
      <c r="G93" s="47">
        <v>5669.94</v>
      </c>
      <c r="H93" s="47">
        <v>0</v>
      </c>
      <c r="I93" s="47">
        <v>5669.94</v>
      </c>
      <c r="J93" s="47">
        <v>408100.06</v>
      </c>
      <c r="K93" s="49">
        <v>1.370312009087174E-2</v>
      </c>
      <c r="L93" s="47">
        <v>6504.6633330000004</v>
      </c>
      <c r="M93" s="47">
        <v>80000</v>
      </c>
      <c r="N93" s="47">
        <v>86504.663333000004</v>
      </c>
      <c r="O93" s="47">
        <v>327265.33666700003</v>
      </c>
      <c r="P93" s="50">
        <v>0.20906460916209488</v>
      </c>
    </row>
    <row r="94" spans="1:16" ht="14.25" customHeight="1" x14ac:dyDescent="0.25">
      <c r="A94" s="44" t="s">
        <v>38</v>
      </c>
      <c r="B94" s="45" t="s">
        <v>113</v>
      </c>
      <c r="C94" s="46" t="s">
        <v>118</v>
      </c>
      <c r="D94" s="47">
        <v>75000</v>
      </c>
      <c r="E94" s="47">
        <v>43263</v>
      </c>
      <c r="F94" s="47">
        <v>118263</v>
      </c>
      <c r="G94" s="47">
        <v>0</v>
      </c>
      <c r="H94" s="47">
        <v>0</v>
      </c>
      <c r="I94" s="47">
        <v>0</v>
      </c>
      <c r="J94" s="47">
        <v>118263</v>
      </c>
      <c r="K94" s="49">
        <v>0</v>
      </c>
      <c r="L94" s="47">
        <v>0</v>
      </c>
      <c r="M94" s="47">
        <v>75000</v>
      </c>
      <c r="N94" s="47">
        <v>75000</v>
      </c>
      <c r="O94" s="47">
        <v>43263</v>
      </c>
      <c r="P94" s="50">
        <v>0.6341797519088811</v>
      </c>
    </row>
    <row r="95" spans="1:16" ht="14.25" customHeight="1" x14ac:dyDescent="0.25">
      <c r="A95" s="44" t="s">
        <v>38</v>
      </c>
      <c r="B95" s="45" t="s">
        <v>113</v>
      </c>
      <c r="C95" s="46" t="s">
        <v>119</v>
      </c>
      <c r="D95" s="47">
        <v>2000</v>
      </c>
      <c r="E95" s="47">
        <v>0</v>
      </c>
      <c r="F95" s="47">
        <v>2000</v>
      </c>
      <c r="G95" s="47">
        <v>0</v>
      </c>
      <c r="H95" s="47">
        <v>0</v>
      </c>
      <c r="I95" s="47">
        <v>0</v>
      </c>
      <c r="J95" s="47">
        <v>2000</v>
      </c>
      <c r="K95" s="49">
        <v>0</v>
      </c>
      <c r="L95" s="47">
        <v>0</v>
      </c>
      <c r="M95" s="47">
        <v>0</v>
      </c>
      <c r="N95" s="47">
        <v>0</v>
      </c>
      <c r="O95" s="47">
        <v>2000</v>
      </c>
      <c r="P95" s="50">
        <v>0</v>
      </c>
    </row>
    <row r="96" spans="1:16" ht="14.25" customHeight="1" x14ac:dyDescent="0.25">
      <c r="A96" s="44" t="s">
        <v>38</v>
      </c>
      <c r="B96" s="45" t="s">
        <v>80</v>
      </c>
      <c r="C96" s="46" t="s">
        <v>81</v>
      </c>
      <c r="D96" s="47">
        <v>292558</v>
      </c>
      <c r="E96" s="47">
        <v>0</v>
      </c>
      <c r="F96" s="47">
        <v>292558</v>
      </c>
      <c r="G96" s="47">
        <v>170481.41</v>
      </c>
      <c r="H96" s="47">
        <v>73440</v>
      </c>
      <c r="I96" s="47">
        <v>243921.41</v>
      </c>
      <c r="J96" s="47">
        <v>48636.59</v>
      </c>
      <c r="K96" s="49">
        <v>0.83375402484293715</v>
      </c>
      <c r="L96" s="47">
        <v>370302.49999899999</v>
      </c>
      <c r="M96" s="47">
        <v>0</v>
      </c>
      <c r="N96" s="47">
        <v>370302.49999899999</v>
      </c>
      <c r="O96" s="48">
        <v>-151184.49999899999</v>
      </c>
      <c r="P96" s="50">
        <v>1.5167676153070502</v>
      </c>
    </row>
    <row r="97" spans="1:16" ht="14.25" customHeight="1" x14ac:dyDescent="0.25">
      <c r="A97" s="44" t="s">
        <v>38</v>
      </c>
      <c r="B97" s="45" t="s">
        <v>80</v>
      </c>
      <c r="C97" s="46" t="s">
        <v>82</v>
      </c>
      <c r="D97" s="47">
        <v>97250</v>
      </c>
      <c r="E97" s="47">
        <v>0</v>
      </c>
      <c r="F97" s="47">
        <v>97250</v>
      </c>
      <c r="G97" s="47">
        <v>42688.44</v>
      </c>
      <c r="H97" s="47">
        <v>188917.81</v>
      </c>
      <c r="I97" s="47">
        <v>231606.25</v>
      </c>
      <c r="J97" s="48">
        <v>-134356.25</v>
      </c>
      <c r="K97" s="49">
        <v>2.3815552699228792</v>
      </c>
      <c r="L97" s="47">
        <v>86497.486667000005</v>
      </c>
      <c r="M97" s="47">
        <v>180000</v>
      </c>
      <c r="N97" s="47">
        <v>266497.48666699999</v>
      </c>
      <c r="O97" s="48">
        <v>-358165.29666699999</v>
      </c>
      <c r="P97" s="50">
        <v>4.6829336418200516</v>
      </c>
    </row>
    <row r="98" spans="1:16" ht="14.25" customHeight="1" x14ac:dyDescent="0.25">
      <c r="A98" s="55"/>
    </row>
    <row r="99" spans="1:16" ht="14.25" customHeight="1" x14ac:dyDescent="0.25"/>
    <row r="100" spans="1:16" ht="14.25" customHeight="1" x14ac:dyDescent="0.25"/>
    <row r="101" spans="1:16" ht="14.25" customHeight="1" x14ac:dyDescent="0.25"/>
    <row r="102" spans="1:16" ht="14.25" customHeight="1" x14ac:dyDescent="0.25"/>
    <row r="103" spans="1:16" ht="14.25" customHeight="1" x14ac:dyDescent="0.25"/>
    <row r="104" spans="1:16" ht="14.25" customHeight="1" x14ac:dyDescent="0.25"/>
    <row r="105" spans="1:16" ht="14.25" customHeight="1" x14ac:dyDescent="0.25"/>
    <row r="106" spans="1:16" ht="14.25" customHeight="1" x14ac:dyDescent="0.25"/>
    <row r="107" spans="1:16" ht="14.25" customHeight="1" x14ac:dyDescent="0.25"/>
    <row r="108" spans="1:16" ht="14.25" customHeight="1" x14ac:dyDescent="0.25"/>
    <row r="109" spans="1:16" ht="14.25" customHeight="1" x14ac:dyDescent="0.25"/>
    <row r="110" spans="1:16" ht="14.25" customHeight="1" x14ac:dyDescent="0.25"/>
    <row r="111" spans="1:16" ht="14.25" customHeight="1" x14ac:dyDescent="0.25"/>
    <row r="112" spans="1:16"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Glossary</vt:lpstr>
      <vt:lpstr>Report</vt:lpstr>
      <vt:lpstr>Projected YE Balances</vt:lpstr>
      <vt:lpstr>Data</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Gabriel A Munoz</cp:lastModifiedBy>
  <dcterms:modified xsi:type="dcterms:W3CDTF">2025-06-11T18:40:46Z</dcterms:modified>
</cp:coreProperties>
</file>