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G:\Shared drives\Budget Team Drive\_Quarterly Mgt Rpts\Prior Years\2023-24\Q2\"/>
    </mc:Choice>
  </mc:AlternateContent>
  <xr:revisionPtr revIDLastSave="0" documentId="13_ncr:1_{5AA8978D-25EC-418A-A4F2-2193AD6446E9}" xr6:coauthVersionLast="47" xr6:coauthVersionMax="47" xr10:uidLastSave="{00000000-0000-0000-0000-000000000000}"/>
  <bookViews>
    <workbookView xWindow="-120" yWindow="-120" windowWidth="29040" windowHeight="15720" activeTab="2" xr2:uid="{00000000-000D-0000-FFFF-FFFF00000000}"/>
  </bookViews>
  <sheets>
    <sheet name="Glossary" sheetId="1" r:id="rId1"/>
    <sheet name="Current Year Projections" sheetId="2" r:id="rId2"/>
    <sheet name="Projected YE Balances" sheetId="3" r:id="rId3"/>
    <sheet name="Data." sheetId="5" r:id="rId4"/>
    <sheet name="Data" sheetId="4" state="hidden" r:id="rId5"/>
  </sheets>
  <definedNames>
    <definedName name="Slicer_Fund">#REF!</definedName>
    <definedName name="Slicer_Fund_Group">#REF!</definedName>
    <definedName name="Slicer_Fund_Group1">#N/A</definedName>
    <definedName name="Slicer_Fund1">#N/A</definedName>
  </definedNames>
  <calcPr calcId="191029"/>
  <pivotCaches>
    <pivotCache cacheId="17"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JqrzhTezO3LV7JHXSYZqyvNnCpGOjZTmU2xaRYM5bY="/>
    </ext>
  </extLst>
</workbook>
</file>

<file path=xl/calcChain.xml><?xml version="1.0" encoding="utf-8"?>
<calcChain xmlns="http://schemas.openxmlformats.org/spreadsheetml/2006/main">
  <c r="I73" i="3" l="1"/>
  <c r="H73" i="3"/>
  <c r="D72" i="3"/>
  <c r="F72" i="3" s="1"/>
  <c r="D71" i="3"/>
  <c r="D70" i="3" s="1"/>
  <c r="B70" i="3"/>
  <c r="D69" i="3"/>
  <c r="F69" i="3" s="1"/>
  <c r="D68" i="3"/>
  <c r="F68" i="3" s="1"/>
  <c r="F67" i="3" s="1"/>
  <c r="K67" i="3" s="1"/>
  <c r="B67" i="3"/>
  <c r="B73" i="3" s="1"/>
  <c r="D66" i="3"/>
  <c r="F66" i="3" s="1"/>
  <c r="D65" i="3"/>
  <c r="F65" i="3" s="1"/>
  <c r="D64" i="3"/>
  <c r="F64" i="3" s="1"/>
  <c r="D63" i="3"/>
  <c r="F63" i="3" s="1"/>
  <c r="D62" i="3"/>
  <c r="F62" i="3" s="1"/>
  <c r="D61" i="3"/>
  <c r="F61" i="3" s="1"/>
  <c r="F60" i="3" s="1"/>
  <c r="N60" i="3" s="1"/>
  <c r="B60" i="3"/>
  <c r="D59" i="3"/>
  <c r="F59" i="3" s="1"/>
  <c r="F58" i="3" s="1"/>
  <c r="N58" i="3" s="1"/>
  <c r="B58" i="3"/>
  <c r="D57" i="3"/>
  <c r="F57" i="3" s="1"/>
  <c r="F56" i="3" s="1"/>
  <c r="N56" i="3" s="1"/>
  <c r="B56" i="3"/>
  <c r="D55" i="3"/>
  <c r="D54" i="3" s="1"/>
  <c r="B54" i="3"/>
  <c r="D53" i="3"/>
  <c r="F53" i="3" s="1"/>
  <c r="F52" i="3" s="1"/>
  <c r="L52" i="3" s="1"/>
  <c r="B52" i="3"/>
  <c r="D51" i="3"/>
  <c r="D50" i="3" s="1"/>
  <c r="B50" i="3"/>
  <c r="D49" i="3"/>
  <c r="F49" i="3" s="1"/>
  <c r="D48" i="3"/>
  <c r="F48" i="3" s="1"/>
  <c r="F47" i="3" s="1"/>
  <c r="L47" i="3" s="1"/>
  <c r="B47" i="3"/>
  <c r="D46" i="3"/>
  <c r="D45" i="3" s="1"/>
  <c r="B45" i="3"/>
  <c r="D44" i="3"/>
  <c r="F44" i="3" s="1"/>
  <c r="F43" i="3" s="1"/>
  <c r="K43" i="3" s="1"/>
  <c r="B43" i="3"/>
  <c r="D42" i="3"/>
  <c r="F42" i="3" s="1"/>
  <c r="D41" i="3"/>
  <c r="F41" i="3" s="1"/>
  <c r="D40" i="3"/>
  <c r="D39" i="3" s="1"/>
  <c r="B39" i="3"/>
  <c r="D38" i="3"/>
  <c r="F38" i="3" s="1"/>
  <c r="D37" i="3"/>
  <c r="F37" i="3" s="1"/>
  <c r="D36" i="3"/>
  <c r="F36" i="3" s="1"/>
  <c r="D35" i="3"/>
  <c r="F35" i="3" s="1"/>
  <c r="D34" i="3"/>
  <c r="F34" i="3" s="1"/>
  <c r="D33" i="3"/>
  <c r="F33" i="3" s="1"/>
  <c r="D32" i="3"/>
  <c r="F32" i="3" s="1"/>
  <c r="D31" i="3"/>
  <c r="F31" i="3" s="1"/>
  <c r="B30" i="3"/>
  <c r="D29" i="3"/>
  <c r="F29" i="3" s="1"/>
  <c r="D28" i="3"/>
  <c r="D27" i="3" s="1"/>
  <c r="B27" i="3"/>
  <c r="D26" i="3"/>
  <c r="F26" i="3" s="1"/>
  <c r="D25" i="3"/>
  <c r="F25" i="3" s="1"/>
  <c r="D24" i="3"/>
  <c r="F24" i="3" s="1"/>
  <c r="D23" i="3"/>
  <c r="F23" i="3" s="1"/>
  <c r="D22" i="3"/>
  <c r="F22" i="3" s="1"/>
  <c r="D21" i="3"/>
  <c r="F21" i="3" s="1"/>
  <c r="D20" i="3"/>
  <c r="F20" i="3" s="1"/>
  <c r="D19" i="3"/>
  <c r="F19" i="3" s="1"/>
  <c r="D18" i="3"/>
  <c r="F18" i="3" s="1"/>
  <c r="D17" i="3"/>
  <c r="F17" i="3" s="1"/>
  <c r="D16" i="3"/>
  <c r="F16" i="3" s="1"/>
  <c r="D15" i="3"/>
  <c r="F15" i="3" s="1"/>
  <c r="D14" i="3"/>
  <c r="F14" i="3" s="1"/>
  <c r="D13" i="3"/>
  <c r="F13" i="3" s="1"/>
  <c r="D12" i="3"/>
  <c r="F12" i="3" s="1"/>
  <c r="D11" i="3"/>
  <c r="F11" i="3" s="1"/>
  <c r="D10" i="3"/>
  <c r="F10" i="3" s="1"/>
  <c r="D9" i="3"/>
  <c r="F9" i="3" s="1"/>
  <c r="D8" i="3"/>
  <c r="D7" i="3" s="1"/>
  <c r="B7" i="3"/>
  <c r="D6" i="3"/>
  <c r="F6" i="3" s="1"/>
  <c r="F5" i="3" s="1"/>
  <c r="B5" i="3"/>
  <c r="I5" i="2"/>
  <c r="H5" i="2"/>
  <c r="C5" i="2"/>
  <c r="B5" i="2"/>
  <c r="D7" i="2"/>
  <c r="B7" i="2"/>
  <c r="I7" i="2"/>
  <c r="C7" i="2"/>
  <c r="H7" i="2"/>
  <c r="G7" i="2"/>
  <c r="E7" i="2"/>
  <c r="F7" i="2"/>
  <c r="F30" i="3" l="1"/>
  <c r="J30" i="3" s="1"/>
  <c r="J73" i="3" s="1"/>
  <c r="K73" i="3"/>
  <c r="F8" i="3"/>
  <c r="F7" i="3" s="1"/>
  <c r="M7" i="3" s="1"/>
  <c r="M73" i="3" s="1"/>
  <c r="F28" i="3"/>
  <c r="F27" i="3" s="1"/>
  <c r="L27" i="3" s="1"/>
  <c r="F40" i="3"/>
  <c r="F39" i="3" s="1"/>
  <c r="L39" i="3" s="1"/>
  <c r="F55" i="3"/>
  <c r="F54" i="3" s="1"/>
  <c r="N54" i="3" s="1"/>
  <c r="N73" i="3" s="1"/>
  <c r="D60" i="3"/>
  <c r="F71" i="3"/>
  <c r="F70" i="3" s="1"/>
  <c r="D5" i="3"/>
  <c r="F46" i="3"/>
  <c r="F45" i="3" s="1"/>
  <c r="L45" i="3" s="1"/>
  <c r="F51" i="3"/>
  <c r="F50" i="3" s="1"/>
  <c r="L50" i="3" s="1"/>
  <c r="D56" i="3"/>
  <c r="D67" i="3"/>
  <c r="D73" i="3" s="1"/>
  <c r="D30" i="3"/>
  <c r="D47" i="3"/>
  <c r="D52" i="3"/>
  <c r="D43" i="3"/>
  <c r="D58" i="3"/>
  <c r="L70" i="3" l="1"/>
  <c r="L73" i="3" s="1"/>
  <c r="F73" i="3"/>
</calcChain>
</file>

<file path=xl/sharedStrings.xml><?xml version="1.0" encoding="utf-8"?>
<sst xmlns="http://schemas.openxmlformats.org/spreadsheetml/2006/main" count="743" uniqueCount="145">
  <si>
    <t>Glossary</t>
  </si>
  <si>
    <t>Budget</t>
  </si>
  <si>
    <t>{a}</t>
  </si>
  <si>
    <r>
      <rPr>
        <b/>
        <u/>
        <sz val="10"/>
        <color theme="1"/>
        <rFont val="Arial"/>
      </rPr>
      <t>Original / Base</t>
    </r>
    <r>
      <rPr>
        <sz val="10"/>
        <color theme="1"/>
        <rFont val="Arial"/>
      </rPr>
      <t xml:space="preserve"> - Also commonly referred to as base budget, is the initial budget/plan established at the beginning of the fiscal year. Positive balances reflect revenues are expected to exceed expenses while the opposite is true for negative balances.</t>
    </r>
  </si>
  <si>
    <t>{b}</t>
  </si>
  <si>
    <r>
      <rPr>
        <b/>
        <u/>
        <sz val="10"/>
        <color theme="1"/>
        <rFont val="Arial"/>
      </rPr>
      <t>Final Budget</t>
    </r>
    <r>
      <rPr>
        <sz val="10"/>
        <color theme="1"/>
        <rFont val="Arial"/>
      </rPr>
      <t xml:space="preserve"> - Includes original budget as well as all revisions throughout the year. For select funds such as the HM500 - Operating Fund, rollforward and encumbrance expense balances from the prior year are included in this column.</t>
    </r>
  </si>
  <si>
    <t>Projections</t>
  </si>
  <si>
    <t>{c}</t>
  </si>
  <si>
    <r>
      <rPr>
        <b/>
        <u/>
        <sz val="10"/>
        <color theme="1"/>
        <rFont val="Arial"/>
      </rPr>
      <t>Final Projection</t>
    </r>
    <r>
      <rPr>
        <sz val="10"/>
        <color theme="1"/>
        <rFont val="Arial"/>
      </rPr>
      <t xml:space="preserve"> - Final Projections is the projected year-end net total (revenue - expenses). When expenses exceed revenues (negative balances) reserves will need to be leveraged.</t>
    </r>
  </si>
  <si>
    <t>{d}</t>
  </si>
  <si>
    <r>
      <rPr>
        <b/>
        <u/>
        <sz val="10"/>
        <color theme="1"/>
        <rFont val="Arial"/>
      </rPr>
      <t>Projected Balance</t>
    </r>
    <r>
      <rPr>
        <sz val="10"/>
        <color theme="1"/>
        <rFont val="Arial"/>
      </rPr>
      <t xml:space="preserve"> - Projected Balance is the expected performance against the final budget. For positive balances, final projections are expected to perform better than the final budget and a signal the plan is still pertinent. Negative balances suggests the contrary.</t>
    </r>
  </si>
  <si>
    <r>
      <rPr>
        <b/>
        <u/>
        <sz val="10"/>
        <color theme="1"/>
        <rFont val="Arial"/>
      </rPr>
      <t>Please note:</t>
    </r>
    <r>
      <rPr>
        <sz val="10"/>
        <color theme="1"/>
        <rFont val="Arial"/>
      </rPr>
      <t xml:space="preserve"> Some areas have a stateside Operating Fund (HM500 fund) footprint as well as self support operations. To view their stateside Operating Fund financials please see the </t>
    </r>
    <r>
      <rPr>
        <i/>
        <u/>
        <sz val="10"/>
        <color theme="1"/>
        <rFont val="Arial"/>
      </rPr>
      <t>2023-24 Q2 - Cal Poly Humboldt Operating Fund Financial Review</t>
    </r>
    <r>
      <rPr>
        <sz val="10"/>
        <color theme="1"/>
        <rFont val="Arial"/>
      </rPr>
      <t xml:space="preserve"> report.</t>
    </r>
  </si>
  <si>
    <t>Areas with a stateside Operating Fund (HM500) footprint</t>
  </si>
  <si>
    <t>Athletics &amp; Campus Recreation</t>
  </si>
  <si>
    <t>Student Health &amp; Wellbeing</t>
  </si>
  <si>
    <t>Children's Center</t>
  </si>
  <si>
    <t>Student Activites Center</t>
  </si>
  <si>
    <t>College of Ext Ed Global Engag (CEEGE)</t>
  </si>
  <si>
    <t>2023-24 Cal Poly Humboldt Campus Wide Operating Funds Q2 Financial Review</t>
  </si>
  <si>
    <t>Use the Slicer below to filter the pivot by Fund Group</t>
  </si>
  <si>
    <t>Budget Year</t>
  </si>
  <si>
    <t>2023 - 2024</t>
  </si>
  <si>
    <t>As Of Date</t>
  </si>
  <si>
    <t>See "Glossary" tab for notes</t>
  </si>
  <si>
    <t>Original / Base</t>
  </si>
  <si>
    <t>Final Budget</t>
  </si>
  <si>
    <t>Actuals</t>
  </si>
  <si>
    <t>Encumbrances</t>
  </si>
  <si>
    <t>YTDTotal</t>
  </si>
  <si>
    <t>YTD Balance</t>
  </si>
  <si>
    <t>Final Projection</t>
  </si>
  <si>
    <t>Projected Balance</t>
  </si>
  <si>
    <t>Grand Total</t>
  </si>
  <si>
    <t>Use the plus (+) to drill down into fund detail</t>
  </si>
  <si>
    <t>Budget thru 12/31</t>
  </si>
  <si>
    <t>Projected Year-End Reserve Balances</t>
  </si>
  <si>
    <t>Operating Reserve Balances By Division</t>
  </si>
  <si>
    <t>Please Note: Reserve balances may include restricted and/or committed balances</t>
  </si>
  <si>
    <t>Fund Type / Fund</t>
  </si>
  <si>
    <t>Beginning Balance</t>
  </si>
  <si>
    <t>Projected Year-End Surplus/(Deficit)</t>
  </si>
  <si>
    <t>Ending Balance **</t>
  </si>
  <si>
    <t>President</t>
  </si>
  <si>
    <t>University Advancement</t>
  </si>
  <si>
    <t>Academic Affairs</t>
  </si>
  <si>
    <t>Administrative Affairs</t>
  </si>
  <si>
    <t>Enrollment Management</t>
  </si>
  <si>
    <t>Athletics and Recreation</t>
  </si>
  <si>
    <t>University Wide</t>
  </si>
  <si>
    <t>Operating Fund</t>
  </si>
  <si>
    <t>*</t>
  </si>
  <si>
    <t>HM500 - OPERATING FUND</t>
  </si>
  <si>
    <t>Athletics (Self Support/Auxiliary)</t>
  </si>
  <si>
    <t>A0051 - ATHLETICS TRUST</t>
  </si>
  <si>
    <t>A0053 - VOLLEYBALL PROGRAM</t>
  </si>
  <si>
    <t>A0054 - MENS CROSS COUNTRY PROGRAM</t>
  </si>
  <si>
    <t>A0055 - WOMENS CROSS COUNTRY PROGRAM</t>
  </si>
  <si>
    <t>A0056 - MENS SOCCER PROGRAM</t>
  </si>
  <si>
    <t>A0057 - WOMENS SOCCER PROGRAM</t>
  </si>
  <si>
    <t>A0058 - MEN'S BASKETBALL PROGRAM</t>
  </si>
  <si>
    <t>A0059 - WOMEN'S BASKETBALL PROGRAM</t>
  </si>
  <si>
    <t>A0060 - MENS TRACK &amp; FIELD PROGRAM</t>
  </si>
  <si>
    <t>A0061 - WOMENS TRACK &amp; FIELD PROGRAM</t>
  </si>
  <si>
    <t>A0062 - WOMENS ROWING PROGRAM</t>
  </si>
  <si>
    <t>A0063 - WOMENS SOFTBALL PROGRAM</t>
  </si>
  <si>
    <t>A0064 - WOMENS TRIATHLON</t>
  </si>
  <si>
    <t>HC101 - CAMPUS REC TRUST FUND</t>
  </si>
  <si>
    <t>HX101 - CAMPUS REC MISC REV TRUST</t>
  </si>
  <si>
    <t>TO120 - IRA ATHLETICS FUND</t>
  </si>
  <si>
    <t>TX001 - INTERCOLLEGIATE ATHLETICS TR</t>
  </si>
  <si>
    <t>TX005 - RECREATIONAL SPORTS TR</t>
  </si>
  <si>
    <t>TX108 - S+G NCAA/ATHLTC SCHLRSHP ADMIN</t>
  </si>
  <si>
    <t>Bookstore</t>
  </si>
  <si>
    <t>TV061 - BOOKSTORE TRUST FUND</t>
  </si>
  <si>
    <t>TV062 - EUREKA STORE TRUST FUND</t>
  </si>
  <si>
    <t>CEEGE</t>
  </si>
  <si>
    <t>TL001 - EXTENDED EDUCATION</t>
  </si>
  <si>
    <t>TL005 - EXT ED INTERNATIONAL PROGRAM</t>
  </si>
  <si>
    <t>TL006 - EXT ED EARLY START PROGRAM</t>
  </si>
  <si>
    <t>TL201 - CEEE SOCIAL WORK MSW</t>
  </si>
  <si>
    <t>TL202 - CEEE APPLIED ANTHROPOLOGY MA</t>
  </si>
  <si>
    <t>TL301 - CEEE LEADERSHIP STUDIES BA</t>
  </si>
  <si>
    <t>TL401 - CEEE GEOSPATIAL CERTIFICATE</t>
  </si>
  <si>
    <t>TL501 - PACE REVENUE SHARING</t>
  </si>
  <si>
    <t>TP004 - C+G HSU CHILDRENS CTR</t>
  </si>
  <si>
    <t>TP060 - C+G CC EARLY HEAD START</t>
  </si>
  <si>
    <t>TV020 - OT HSU CHLD CENTER TRUST</t>
  </si>
  <si>
    <t>Construction Administration</t>
  </si>
  <si>
    <t>HM542 - CONSTRUCTION ADMINISTRATION</t>
  </si>
  <si>
    <t>Dining</t>
  </si>
  <si>
    <t>HA110 - DINING SERVICES</t>
  </si>
  <si>
    <t>Student Health &amp; Wellbeing Services</t>
  </si>
  <si>
    <t>HM505 - HEALTH SERVICE OPERATING FUND</t>
  </si>
  <si>
    <t>HM506 - AUGMENTED HEALTH SERVICES</t>
  </si>
  <si>
    <t>Health Facilities</t>
  </si>
  <si>
    <t>TM001 - HEALTH FACILITIES</t>
  </si>
  <si>
    <t>Housing</t>
  </si>
  <si>
    <t>HA100 - HOUSING TRUST FUND</t>
  </si>
  <si>
    <t>IRA Committee Fund</t>
  </si>
  <si>
    <t>***</t>
  </si>
  <si>
    <t>TO140 - IRA COMMITTEE FUND</t>
  </si>
  <si>
    <t>IRA Humboldt Energy Indepndnc</t>
  </si>
  <si>
    <t>TO110 - SUSTAIN HUM INNOVATION FUTURES</t>
  </si>
  <si>
    <t>IRA Jack Pass</t>
  </si>
  <si>
    <t>TO130 - IRA JACK PASS FUND</t>
  </si>
  <si>
    <t>Lottery</t>
  </si>
  <si>
    <t>TU001 - LOTTERY-LEF</t>
  </si>
  <si>
    <t>TU005 - LOTTERY - FUTURE SCHOLAR</t>
  </si>
  <si>
    <t>TU006 - LOTTERY - INSTR DISCRET</t>
  </si>
  <si>
    <t>TU007 - LOTTERY - ACCESS &amp; ACAD DEVELP</t>
  </si>
  <si>
    <t>TU008 - LOTTERY - TEACHER RECRUITMT</t>
  </si>
  <si>
    <t>TU009 - LOTTERY -PRE DOCTORAL PROG</t>
  </si>
  <si>
    <t>Parking</t>
  </si>
  <si>
    <t>TS001 - PARKING FINES + FORFEITURES</t>
  </si>
  <si>
    <t>TS003 - PARKING FEES</t>
  </si>
  <si>
    <t>Student Activity Center</t>
  </si>
  <si>
    <t>HC100 - STUDENT ACTIVITIES CTR TRUST</t>
  </si>
  <si>
    <t>HX100 - SAC CENTER ARTS MISC REV TRUST</t>
  </si>
  <si>
    <t>Operating fund (HM500) projected divisional year-end balances not reflective of roll forward distribution</t>
  </si>
  <si>
    <t>**</t>
  </si>
  <si>
    <t>Reserve balance includes encumbrance activity in process</t>
  </si>
  <si>
    <t>The IRA Reserve is the “savings account” for IRA Programs across several divisions. It is to be used to address contingencies, emergencies, budgetary impacts such as an unanticipated shortfall in projected enrollment, and other non-routine expenditures.</t>
  </si>
  <si>
    <t>Account Type</t>
  </si>
  <si>
    <t>Fund Group</t>
  </si>
  <si>
    <t>Fund</t>
  </si>
  <si>
    <t>Orig Base</t>
  </si>
  <si>
    <t>Adj Bud</t>
  </si>
  <si>
    <t>Final Bud</t>
  </si>
  <si>
    <t>Actual</t>
  </si>
  <si>
    <t>Encumb</t>
  </si>
  <si>
    <t>YTD Total</t>
  </si>
  <si>
    <t>YTD Bal</t>
  </si>
  <si>
    <t>YTD %</t>
  </si>
  <si>
    <t>Projection</t>
  </si>
  <si>
    <t>Projection Adj</t>
  </si>
  <si>
    <t>Final Proj</t>
  </si>
  <si>
    <t>Proj Bal</t>
  </si>
  <si>
    <t xml:space="preserve">Proj % </t>
  </si>
  <si>
    <t>Revenues</t>
  </si>
  <si>
    <t>Athletics</t>
  </si>
  <si>
    <t>IRA Sustainable Innovation Futures Trust</t>
  </si>
  <si>
    <t>Expenses</t>
  </si>
  <si>
    <t/>
  </si>
  <si>
    <t>Expenses Total</t>
  </si>
  <si>
    <t>Revenues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</si>
</sst>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10409]#,###;\(#,###\);\-"/>
    <numFmt numFmtId="166" formatCode="[$-10409]#,###.0%;\(#,###.0\)%;\-"/>
  </numFmts>
  <fonts count="27" x14ac:knownFonts="1">
    <font>
      <sz val="11"/>
      <color rgb="FF000000"/>
      <name val="Calibri"/>
      <scheme val="minor"/>
    </font>
    <font>
      <b/>
      <sz val="14"/>
      <color theme="1"/>
      <name val="Arial"/>
    </font>
    <font>
      <sz val="10"/>
      <color theme="1"/>
      <name val="Arial"/>
    </font>
    <font>
      <b/>
      <u/>
      <sz val="10"/>
      <color theme="1"/>
      <name val="Arial"/>
    </font>
    <font>
      <b/>
      <sz val="10"/>
      <color rgb="FFFF0000"/>
      <name val="Arial"/>
    </font>
    <font>
      <sz val="11"/>
      <name val="Calibri"/>
    </font>
    <font>
      <u/>
      <sz val="10"/>
      <color theme="1"/>
      <name val="Arial"/>
    </font>
    <font>
      <b/>
      <sz val="14"/>
      <color theme="1"/>
      <name val="Calibri"/>
    </font>
    <font>
      <sz val="11"/>
      <color theme="1"/>
      <name val="Calibri"/>
    </font>
    <font>
      <i/>
      <sz val="11"/>
      <color theme="1"/>
      <name val="Calibri"/>
    </font>
    <font>
      <i/>
      <sz val="10"/>
      <color theme="1"/>
      <name val="Calibri"/>
    </font>
    <font>
      <b/>
      <sz val="11"/>
      <color rgb="FFFF0000"/>
      <name val="Calibri"/>
    </font>
    <font>
      <b/>
      <sz val="10"/>
      <color rgb="FFFF0000"/>
      <name val="Calibri"/>
    </font>
    <font>
      <sz val="11"/>
      <color theme="0"/>
      <name val="Calibri"/>
    </font>
    <font>
      <b/>
      <sz val="11"/>
      <color theme="1"/>
      <name val="Calibri"/>
    </font>
    <font>
      <b/>
      <sz val="14"/>
      <color rgb="FF000000"/>
      <name val="Arial"/>
    </font>
    <font>
      <b/>
      <sz val="16"/>
      <color rgb="FF000000"/>
      <name val="Arial"/>
    </font>
    <font>
      <i/>
      <sz val="10"/>
      <color rgb="FF000000"/>
      <name val="Arial"/>
    </font>
    <font>
      <i/>
      <sz val="10"/>
      <color theme="1"/>
      <name val="Arial"/>
    </font>
    <font>
      <b/>
      <sz val="10"/>
      <color rgb="FF000000"/>
      <name val="Arial"/>
    </font>
    <font>
      <b/>
      <sz val="10"/>
      <color theme="1"/>
      <name val="Arial"/>
    </font>
    <font>
      <sz val="10"/>
      <color rgb="FFFF0000"/>
      <name val="Arial"/>
    </font>
    <font>
      <sz val="8"/>
      <color theme="1"/>
      <name val="Arial"/>
    </font>
    <font>
      <b/>
      <sz val="8"/>
      <color rgb="FF000000"/>
      <name val="Arial"/>
    </font>
    <font>
      <sz val="8"/>
      <color rgb="FF000000"/>
      <name val="Arial"/>
    </font>
    <font>
      <sz val="8"/>
      <color rgb="FFFF0000"/>
      <name val="Arial"/>
    </font>
    <font>
      <i/>
      <u/>
      <sz val="10"/>
      <color theme="1"/>
      <name val="Arial"/>
    </font>
  </fonts>
  <fills count="7">
    <fill>
      <patternFill patternType="none"/>
    </fill>
    <fill>
      <patternFill patternType="gray125"/>
    </fill>
    <fill>
      <patternFill patternType="solid">
        <fgColor rgb="FFF2F2F2"/>
        <bgColor rgb="FFF2F2F2"/>
      </patternFill>
    </fill>
    <fill>
      <patternFill patternType="solid">
        <fgColor rgb="FF366092"/>
        <bgColor rgb="FF366092"/>
      </patternFill>
    </fill>
    <fill>
      <patternFill patternType="solid">
        <fgColor rgb="FFD6E3BC"/>
        <bgColor rgb="FFD6E3BC"/>
      </patternFill>
    </fill>
    <fill>
      <patternFill patternType="solid">
        <fgColor rgb="FFD8D8D8"/>
        <bgColor rgb="FFD8D8D8"/>
      </patternFill>
    </fill>
    <fill>
      <patternFill patternType="solid">
        <fgColor rgb="FFE8E8E8"/>
        <bgColor rgb="FFE8E8E8"/>
      </patternFill>
    </fill>
  </fills>
  <borders count="2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B8CCE4"/>
      </bottom>
      <diagonal/>
    </border>
    <border>
      <left/>
      <right/>
      <top/>
      <bottom/>
      <diagonal/>
    </border>
    <border>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000000"/>
      </left>
      <right style="thin">
        <color rgb="FF000000"/>
      </right>
      <top/>
      <bottom style="thin">
        <color rgb="FF000000"/>
      </bottom>
      <diagonal/>
    </border>
  </borders>
  <cellStyleXfs count="1">
    <xf numFmtId="0" fontId="0" fillId="0" borderId="0"/>
  </cellStyleXfs>
  <cellXfs count="9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right"/>
    </xf>
    <xf numFmtId="0" fontId="2" fillId="0" borderId="0" xfId="0" applyFont="1" applyAlignment="1">
      <alignment horizontal="left" vertical="top" wrapText="1"/>
    </xf>
    <xf numFmtId="0" fontId="6" fillId="0" borderId="0" xfId="0" applyFont="1"/>
    <xf numFmtId="0" fontId="7" fillId="0" borderId="0" xfId="0" applyFont="1"/>
    <xf numFmtId="0" fontId="8" fillId="0" borderId="0" xfId="0" applyFont="1"/>
    <xf numFmtId="0" fontId="10" fillId="0" borderId="0" xfId="0" applyFont="1"/>
    <xf numFmtId="0" fontId="10" fillId="0" borderId="0" xfId="0" applyFont="1" applyAlignment="1">
      <alignment horizontal="left"/>
    </xf>
    <xf numFmtId="15" fontId="10" fillId="0" borderId="0" xfId="0" applyNumberFormat="1" applyFont="1" applyAlignment="1">
      <alignment horizontal="left"/>
    </xf>
    <xf numFmtId="0" fontId="10" fillId="0" borderId="0" xfId="0" applyFont="1" applyAlignment="1">
      <alignment horizontal="right"/>
    </xf>
    <xf numFmtId="0" fontId="11" fillId="0" borderId="0" xfId="0" applyFont="1" applyAlignment="1">
      <alignment horizontal="center"/>
    </xf>
    <xf numFmtId="0" fontId="12" fillId="0" borderId="0" xfId="0" applyFont="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14" fillId="0" borderId="0" xfId="0" applyFont="1" applyAlignment="1">
      <alignment horizontal="right" wrapText="1"/>
    </xf>
    <xf numFmtId="164" fontId="8" fillId="0" borderId="14" xfId="0" applyNumberFormat="1" applyFont="1" applyBorder="1"/>
    <xf numFmtId="164" fontId="8" fillId="4" borderId="15" xfId="0" applyNumberFormat="1" applyFont="1" applyFill="1" applyBorder="1"/>
    <xf numFmtId="0" fontId="14" fillId="0" borderId="0" xfId="0" applyFont="1"/>
    <xf numFmtId="164" fontId="8" fillId="0" borderId="0" xfId="0" applyNumberFormat="1" applyFont="1"/>
    <xf numFmtId="0" fontId="10" fillId="0" borderId="0" xfId="0" applyFont="1" applyAlignment="1">
      <alignment horizontal="center"/>
    </xf>
    <xf numFmtId="0" fontId="8" fillId="0" borderId="0" xfId="0" applyFont="1" applyAlignment="1">
      <alignment horizontal="left"/>
    </xf>
    <xf numFmtId="0" fontId="2" fillId="5" borderId="13" xfId="0" applyFont="1" applyFill="1" applyBorder="1"/>
    <xf numFmtId="0" fontId="17" fillId="0" borderId="0" xfId="0" applyFont="1" applyAlignment="1">
      <alignment horizontal="left" wrapText="1" readingOrder="1"/>
    </xf>
    <xf numFmtId="43" fontId="2" fillId="0" borderId="0" xfId="0" applyNumberFormat="1" applyFont="1"/>
    <xf numFmtId="14" fontId="17" fillId="0" borderId="0" xfId="0" applyNumberFormat="1" applyFont="1" applyAlignment="1">
      <alignment horizontal="left" wrapText="1" readingOrder="1"/>
    </xf>
    <xf numFmtId="41" fontId="2" fillId="0" borderId="0" xfId="0" applyNumberFormat="1" applyFont="1"/>
    <xf numFmtId="0" fontId="19" fillId="0" borderId="16" xfId="0" applyFont="1" applyBorder="1" applyAlignment="1">
      <alignment horizontal="center" readingOrder="1"/>
    </xf>
    <xf numFmtId="0" fontId="20" fillId="0" borderId="0" xfId="0" applyFont="1"/>
    <xf numFmtId="0" fontId="19" fillId="0" borderId="16" xfId="0" applyFont="1" applyBorder="1" applyAlignment="1">
      <alignment horizontal="center" wrapText="1" readingOrder="1"/>
    </xf>
    <xf numFmtId="0" fontId="19" fillId="0" borderId="11" xfId="0" applyFont="1" applyBorder="1" applyAlignment="1">
      <alignment horizontal="center" wrapText="1" readingOrder="1"/>
    </xf>
    <xf numFmtId="0" fontId="20" fillId="2" borderId="13" xfId="0" applyFont="1" applyFill="1" applyBorder="1" applyAlignment="1">
      <alignment horizontal="left"/>
    </xf>
    <xf numFmtId="41" fontId="20" fillId="2" borderId="17" xfId="0" applyNumberFormat="1" applyFont="1" applyFill="1" applyBorder="1"/>
    <xf numFmtId="41" fontId="20" fillId="0" borderId="0" xfId="0" applyNumberFormat="1" applyFont="1"/>
    <xf numFmtId="164" fontId="2" fillId="0" borderId="18" xfId="0" applyNumberFormat="1" applyFont="1" applyBorder="1"/>
    <xf numFmtId="43" fontId="21" fillId="0" borderId="0" xfId="0" applyNumberFormat="1" applyFont="1"/>
    <xf numFmtId="0" fontId="2" fillId="0" borderId="18" xfId="0" applyFont="1" applyBorder="1" applyAlignment="1">
      <alignment horizontal="left"/>
    </xf>
    <xf numFmtId="41" fontId="2" fillId="0" borderId="18" xfId="0" applyNumberFormat="1" applyFont="1" applyBorder="1"/>
    <xf numFmtId="0" fontId="2" fillId="0" borderId="18" xfId="0" applyFont="1" applyBorder="1"/>
    <xf numFmtId="164" fontId="2" fillId="0" borderId="0" xfId="0" applyNumberFormat="1" applyFont="1"/>
    <xf numFmtId="0" fontId="20" fillId="0" borderId="14" xfId="0" applyFont="1" applyBorder="1" applyAlignment="1">
      <alignment horizontal="left"/>
    </xf>
    <xf numFmtId="41" fontId="20" fillId="0" borderId="14" xfId="0" applyNumberFormat="1" applyFont="1" applyBorder="1"/>
    <xf numFmtId="0" fontId="8" fillId="0" borderId="0" xfId="0" applyFont="1" applyAlignment="1">
      <alignment horizontal="right"/>
    </xf>
    <xf numFmtId="0" fontId="23" fillId="0" borderId="9" xfId="0" applyFont="1" applyBorder="1" applyAlignment="1">
      <alignment horizontal="left" readingOrder="1"/>
    </xf>
    <xf numFmtId="0" fontId="23" fillId="0" borderId="10" xfId="0" applyFont="1" applyBorder="1" applyAlignment="1">
      <alignment horizontal="left" readingOrder="1"/>
    </xf>
    <xf numFmtId="0" fontId="23" fillId="0" borderId="16" xfId="0" applyFont="1" applyBorder="1" applyAlignment="1">
      <alignment horizontal="center" readingOrder="1"/>
    </xf>
    <xf numFmtId="0" fontId="23" fillId="0" borderId="0" xfId="0" applyFont="1" applyAlignment="1">
      <alignment horizontal="left" readingOrder="1"/>
    </xf>
    <xf numFmtId="0" fontId="24" fillId="6" borderId="13" xfId="0" applyFont="1" applyFill="1" applyBorder="1" applyAlignment="1">
      <alignment horizontal="left" vertical="center" readingOrder="1"/>
    </xf>
    <xf numFmtId="0" fontId="24" fillId="0" borderId="0" xfId="0" applyFont="1" applyAlignment="1">
      <alignment horizontal="left" vertical="top" readingOrder="1"/>
    </xf>
    <xf numFmtId="165" fontId="24" fillId="0" borderId="0" xfId="0" applyNumberFormat="1" applyFont="1" applyAlignment="1">
      <alignment horizontal="right" vertical="center" readingOrder="1"/>
    </xf>
    <xf numFmtId="165" fontId="25" fillId="0" borderId="0" xfId="0" applyNumberFormat="1" applyFont="1" applyAlignment="1">
      <alignment horizontal="right" vertical="center" readingOrder="1"/>
    </xf>
    <xf numFmtId="166" fontId="24" fillId="0" borderId="0" xfId="0" applyNumberFormat="1" applyFont="1" applyAlignment="1">
      <alignment horizontal="right" vertical="top" readingOrder="1"/>
    </xf>
    <xf numFmtId="166" fontId="24" fillId="0" borderId="0" xfId="0" applyNumberFormat="1" applyFont="1" applyAlignment="1">
      <alignment horizontal="right" vertical="center" readingOrder="1"/>
    </xf>
    <xf numFmtId="166" fontId="25" fillId="0" borderId="0" xfId="0" applyNumberFormat="1" applyFont="1" applyAlignment="1">
      <alignment horizontal="right" vertical="top" readingOrder="1"/>
    </xf>
    <xf numFmtId="165" fontId="8" fillId="0" borderId="0" xfId="0" applyNumberFormat="1" applyFont="1"/>
    <xf numFmtId="0" fontId="22" fillId="6" borderId="13" xfId="0" applyFont="1" applyFill="1" applyBorder="1" applyAlignment="1">
      <alignment horizontal="left" vertical="center" readingOrder="1"/>
    </xf>
    <xf numFmtId="166" fontId="25" fillId="0" borderId="0" xfId="0" applyNumberFormat="1" applyFont="1" applyAlignment="1">
      <alignment horizontal="right" vertical="center" readingOrder="1"/>
    </xf>
    <xf numFmtId="0" fontId="24" fillId="0" borderId="0" xfId="0" applyFont="1" applyAlignment="1">
      <alignment horizontal="left" vertical="center" readingOrder="1"/>
    </xf>
    <xf numFmtId="0" fontId="2" fillId="0" borderId="1" xfId="0" applyFont="1" applyBorder="1" applyAlignment="1">
      <alignment horizontal="left" vertical="top" wrapText="1"/>
    </xf>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0" fillId="0" borderId="0" xfId="0"/>
    <xf numFmtId="0" fontId="5" fillId="0" borderId="8" xfId="0" applyFont="1" applyBorder="1"/>
    <xf numFmtId="0" fontId="9" fillId="2" borderId="9" xfId="0" applyFont="1" applyFill="1" applyBorder="1" applyAlignment="1">
      <alignment horizontal="left"/>
    </xf>
    <xf numFmtId="0" fontId="5" fillId="0" borderId="10" xfId="0" applyFont="1" applyBorder="1"/>
    <xf numFmtId="0" fontId="5" fillId="0" borderId="11" xfId="0" applyFont="1" applyBorder="1"/>
    <xf numFmtId="0" fontId="15" fillId="0" borderId="5" xfId="0" applyFont="1" applyBorder="1" applyAlignment="1">
      <alignment horizontal="center" vertical="center" wrapText="1" readingOrder="1"/>
    </xf>
    <xf numFmtId="0" fontId="16" fillId="0" borderId="5" xfId="0" applyFont="1" applyBorder="1" applyAlignment="1">
      <alignment horizontal="center" vertical="top" wrapText="1" readingOrder="1"/>
    </xf>
    <xf numFmtId="0" fontId="18" fillId="0" borderId="0" xfId="0" applyFont="1" applyAlignment="1">
      <alignment horizontal="center"/>
    </xf>
    <xf numFmtId="0" fontId="22" fillId="0" borderId="0" xfId="0" applyFont="1" applyAlignment="1">
      <alignment horizontal="left" vertical="top" wrapText="1"/>
    </xf>
    <xf numFmtId="0" fontId="0" fillId="0" borderId="19" xfId="0" applyBorder="1"/>
    <xf numFmtId="0" fontId="0" fillId="0" borderId="20" xfId="0" applyBorder="1"/>
    <xf numFmtId="0" fontId="0" fillId="0" borderId="19" xfId="0" pivotButton="1" applyBorder="1"/>
    <xf numFmtId="0" fontId="0" fillId="0" borderId="21" xfId="0" applyBorder="1"/>
    <xf numFmtId="0" fontId="0" fillId="0" borderId="22" xfId="0" applyBorder="1"/>
    <xf numFmtId="0" fontId="0" fillId="0" borderId="23" xfId="0" applyBorder="1"/>
    <xf numFmtId="0" fontId="0" fillId="0" borderId="19" xfId="0" applyNumberFormat="1" applyBorder="1"/>
    <xf numFmtId="0" fontId="0" fillId="0" borderId="22" xfId="0" applyNumberFormat="1" applyBorder="1"/>
    <xf numFmtId="0" fontId="0" fillId="0" borderId="23" xfId="0" applyNumberFormat="1" applyBorder="1"/>
    <xf numFmtId="0" fontId="0" fillId="0" borderId="24" xfId="0" applyBorder="1"/>
    <xf numFmtId="0" fontId="0" fillId="0" borderId="25" xfId="0" applyBorder="1"/>
    <xf numFmtId="0" fontId="0" fillId="0" borderId="24" xfId="0" applyNumberFormat="1" applyBorder="1"/>
    <xf numFmtId="0" fontId="0" fillId="0" borderId="26" xfId="0" applyNumberFormat="1" applyBorder="1"/>
    <xf numFmtId="0" fontId="0" fillId="0" borderId="27" xfId="0" applyNumberFormat="1" applyBorder="1"/>
    <xf numFmtId="0" fontId="23" fillId="0" borderId="4" xfId="0" applyFont="1" applyBorder="1" applyAlignment="1">
      <alignment horizontal="left" readingOrder="1"/>
    </xf>
    <xf numFmtId="0" fontId="23" fillId="0" borderId="5" xfId="0" applyFont="1" applyBorder="1" applyAlignment="1">
      <alignment horizontal="left" readingOrder="1"/>
    </xf>
    <xf numFmtId="0" fontId="23" fillId="0" borderId="28" xfId="0" applyFont="1" applyBorder="1" applyAlignment="1">
      <alignment horizontal="center" readingOrder="1"/>
    </xf>
  </cellXfs>
  <cellStyles count="1">
    <cellStyle name="Normal" xfId="0" builtinId="0"/>
  </cellStyles>
  <dxfs count="20">
    <dxf>
      <font>
        <b/>
        <i val="0"/>
        <strike val="0"/>
        <condense val="0"/>
        <extend val="0"/>
        <outline val="0"/>
        <shadow val="0"/>
        <u val="none"/>
        <vertAlign val="baseline"/>
        <sz val="8"/>
        <color rgb="FF000000"/>
        <name val="Arial"/>
        <scheme val="none"/>
      </font>
      <alignment horizontal="center" vertical="bottom" textRotation="0" wrapText="0" indent="0" justifyLastLine="0" shrinkToFit="0" readingOrder="1"/>
      <border diagonalUp="0" diagonalDown="0" outline="0">
        <left style="thin">
          <color rgb="FF000000"/>
        </left>
        <right style="thin">
          <color rgb="FF000000"/>
        </right>
        <top/>
        <bottom/>
      </border>
    </dxf>
    <dxf>
      <font>
        <b val="0"/>
        <i val="0"/>
        <strike val="0"/>
        <condense val="0"/>
        <extend val="0"/>
        <outline val="0"/>
        <shadow val="0"/>
        <u val="none"/>
        <vertAlign val="baseline"/>
        <sz val="8"/>
        <color rgb="FF000000"/>
        <name val="Arial"/>
        <scheme val="none"/>
      </font>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6" formatCode="[$-10409]#,###.0%;\(#,###.0\)%;\-"/>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5" formatCode="[$-10409]#,###;\(#,###\);\-"/>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5" formatCode="[$-10409]#,###;\(#,###\);\-"/>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5" formatCode="[$-10409]#,###;\(#,###\);\-"/>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5" formatCode="[$-10409]#,###;\(#,###\);\-"/>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6" formatCode="[$-10409]#,###.0%;\(#,###.0\)%;\-"/>
      <alignment horizontal="right" vertical="top" textRotation="0" wrapText="0" indent="0" justifyLastLine="0" shrinkToFit="0" readingOrder="1"/>
    </dxf>
    <dxf>
      <font>
        <b val="0"/>
        <i val="0"/>
        <strike val="0"/>
        <condense val="0"/>
        <extend val="0"/>
        <outline val="0"/>
        <shadow val="0"/>
        <u val="none"/>
        <vertAlign val="baseline"/>
        <sz val="8"/>
        <color rgb="FF000000"/>
        <name val="Arial"/>
        <scheme val="none"/>
      </font>
      <numFmt numFmtId="165" formatCode="[$-10409]#,###;\(#,###\);\-"/>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5" formatCode="[$-10409]#,###;\(#,###\);\-"/>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5" formatCode="[$-10409]#,###;\(#,###\);\-"/>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5" formatCode="[$-10409]#,###;\(#,###\);\-"/>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5" formatCode="[$-10409]#,###;\(#,###\);\-"/>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5" formatCode="[$-10409]#,###;\(#,###\);\-"/>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numFmt numFmtId="165" formatCode="[$-10409]#,###;\(#,###\);\-"/>
      <alignment horizontal="right" vertical="center" textRotation="0" wrapText="0" indent="0" justifyLastLine="0" shrinkToFit="0" readingOrder="1"/>
    </dxf>
    <dxf>
      <font>
        <b val="0"/>
        <i val="0"/>
        <strike val="0"/>
        <condense val="0"/>
        <extend val="0"/>
        <outline val="0"/>
        <shadow val="0"/>
        <u val="none"/>
        <vertAlign val="baseline"/>
        <sz val="8"/>
        <color rgb="FF000000"/>
        <name val="Arial"/>
        <scheme val="none"/>
      </font>
      <alignment horizontal="left" vertical="top" textRotation="0" wrapText="0" indent="0" justifyLastLine="0" shrinkToFit="0" readingOrder="1"/>
    </dxf>
    <dxf>
      <font>
        <b val="0"/>
        <i val="0"/>
        <strike val="0"/>
        <condense val="0"/>
        <extend val="0"/>
        <outline val="0"/>
        <shadow val="0"/>
        <u val="none"/>
        <vertAlign val="baseline"/>
        <sz val="8"/>
        <color rgb="FF000000"/>
        <name val="Arial"/>
        <scheme val="none"/>
      </font>
      <fill>
        <patternFill patternType="solid">
          <fgColor rgb="FFE8E8E8"/>
          <bgColor rgb="FFE8E8E8"/>
        </patternFill>
      </fill>
      <alignment horizontal="left" vertical="center" textRotation="0" wrapText="0" indent="0" justifyLastLine="0" shrinkToFit="0" readingOrder="1"/>
    </dxf>
    <dxf>
      <font>
        <b/>
        <i val="0"/>
        <strike val="0"/>
        <condense val="0"/>
        <extend val="0"/>
        <outline val="0"/>
        <shadow val="0"/>
        <u val="none"/>
        <vertAlign val="baseline"/>
        <sz val="8"/>
        <color rgb="FF000000"/>
        <name val="Arial"/>
        <scheme val="none"/>
      </font>
      <alignment horizontal="left" vertical="bottom" textRotation="0" wrapText="0" indent="0" justifyLastLine="0" shrinkToFit="0" readingOrder="1"/>
    </dxf>
    <dxf>
      <border outline="0">
        <bottom style="thin">
          <color rgb="FF000000"/>
        </bottom>
      </border>
    </dxf>
    <dxf>
      <border outline="0">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twoCellAnchor editAs="oneCell">
    <xdr:from>
      <xdr:col>11</xdr:col>
      <xdr:colOff>581024</xdr:colOff>
      <xdr:row>4</xdr:row>
      <xdr:rowOff>9525</xdr:rowOff>
    </xdr:from>
    <xdr:to>
      <xdr:col>17</xdr:col>
      <xdr:colOff>571499</xdr:colOff>
      <xdr:row>17</xdr:row>
      <xdr:rowOff>76201</xdr:rowOff>
    </xdr:to>
    <mc:AlternateContent xmlns:mc="http://schemas.openxmlformats.org/markup-compatibility/2006">
      <mc:Choice xmlns:a14="http://schemas.microsoft.com/office/drawing/2010/main" Requires="a14">
        <xdr:graphicFrame macro="">
          <xdr:nvGraphicFramePr>
            <xdr:cNvPr id="2" name="Fund Group">
              <a:extLst>
                <a:ext uri="{FF2B5EF4-FFF2-40B4-BE49-F238E27FC236}">
                  <a16:creationId xmlns:a16="http://schemas.microsoft.com/office/drawing/2014/main" id="{23731169-378C-A629-764B-C1C89AF3853D}"/>
                </a:ext>
              </a:extLst>
            </xdr:cNvPr>
            <xdr:cNvGraphicFramePr/>
          </xdr:nvGraphicFramePr>
          <xdr:xfrm>
            <a:off x="0" y="0"/>
            <a:ext cx="0" cy="0"/>
          </xdr:xfrm>
          <a:graphic>
            <a:graphicData uri="http://schemas.microsoft.com/office/drawing/2010/slicer">
              <sle:slicer xmlns:sle="http://schemas.microsoft.com/office/drawing/2010/slicer" name="Fund Group"/>
            </a:graphicData>
          </a:graphic>
        </xdr:graphicFrame>
      </mc:Choice>
      <mc:Fallback>
        <xdr:sp macro="" textlink="">
          <xdr:nvSpPr>
            <xdr:cNvPr id="0" name=""/>
            <xdr:cNvSpPr>
              <a:spLocks noTextEdit="1"/>
            </xdr:cNvSpPr>
          </xdr:nvSpPr>
          <xdr:spPr>
            <a:xfrm>
              <a:off x="12087224" y="819150"/>
              <a:ext cx="3476625" cy="25431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0</xdr:colOff>
      <xdr:row>17</xdr:row>
      <xdr:rowOff>76200</xdr:rowOff>
    </xdr:from>
    <xdr:to>
      <xdr:col>19</xdr:col>
      <xdr:colOff>390525</xdr:colOff>
      <xdr:row>30</xdr:row>
      <xdr:rowOff>28575</xdr:rowOff>
    </xdr:to>
    <mc:AlternateContent xmlns:mc="http://schemas.openxmlformats.org/markup-compatibility/2006">
      <mc:Choice xmlns:a14="http://schemas.microsoft.com/office/drawing/2010/main" Requires="a14">
        <xdr:graphicFrame macro="">
          <xdr:nvGraphicFramePr>
            <xdr:cNvPr id="3" name="Fund">
              <a:extLst>
                <a:ext uri="{FF2B5EF4-FFF2-40B4-BE49-F238E27FC236}">
                  <a16:creationId xmlns:a16="http://schemas.microsoft.com/office/drawing/2014/main" id="{0E4BA8E9-09C1-3065-2094-487EF116A2E3}"/>
                </a:ext>
              </a:extLst>
            </xdr:cNvPr>
            <xdr:cNvGraphicFramePr/>
          </xdr:nvGraphicFramePr>
          <xdr:xfrm>
            <a:off x="0" y="0"/>
            <a:ext cx="0" cy="0"/>
          </xdr:xfrm>
          <a:graphic>
            <a:graphicData uri="http://schemas.microsoft.com/office/drawing/2010/slicer">
              <sle:slicer xmlns:sle="http://schemas.microsoft.com/office/drawing/2010/slicer" name="Fund"/>
            </a:graphicData>
          </a:graphic>
        </xdr:graphicFrame>
      </mc:Choice>
      <mc:Fallback>
        <xdr:sp macro="" textlink="">
          <xdr:nvSpPr>
            <xdr:cNvPr id="0" name=""/>
            <xdr:cNvSpPr>
              <a:spLocks noTextEdit="1"/>
            </xdr:cNvSpPr>
          </xdr:nvSpPr>
          <xdr:spPr>
            <a:xfrm>
              <a:off x="12087225" y="3362325"/>
              <a:ext cx="44577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gam405" refreshedDate="45819.491275694447" createdVersion="8" refreshedVersion="8" minRefreshableVersion="3" recordCount="94" xr:uid="{C82AACAD-BC64-4986-8142-1D9163E0882E}">
  <cacheSource type="worksheet">
    <worksheetSource name="Table1"/>
  </cacheSource>
  <cacheFields count="16">
    <cacheField name="Account Type" numFmtId="0">
      <sharedItems count="2">
        <s v="Revenues"/>
        <s v="Expenses"/>
      </sharedItems>
    </cacheField>
    <cacheField name="Fund Group" numFmtId="0">
      <sharedItems count="16">
        <s v="Athletics"/>
        <s v="Housing"/>
        <s v="Dining"/>
        <s v="Student Activity Center"/>
        <s v="Operating Fund"/>
        <s v="Student Health &amp; Wellbeing Services"/>
        <s v="Construction Administration"/>
        <s v="IRA Sustainable Innovation Futures Trust"/>
        <s v="IRA Jack Pass"/>
        <s v="IRA Committee Fund"/>
        <s v="CEEGE"/>
        <s v="Health Facilities"/>
        <s v="Children's Center"/>
        <s v="Parking"/>
        <s v="Lottery"/>
        <s v="Bookstore"/>
      </sharedItems>
    </cacheField>
    <cacheField name="Fund" numFmtId="0">
      <sharedItems count="50">
        <s v="A0051 - ATHLETICS TRUST"/>
        <s v="A0053 - VOLLEYBALL PROGRAM"/>
        <s v="A0054 - MENS CROSS COUNTRY PROGRAM"/>
        <s v="A0055 - WOMENS CROSS COUNTRY PROGRAM"/>
        <s v="A0056 - MENS SOCCER PROGRAM"/>
        <s v="A0057 - WOMENS SOCCER PROGRAM"/>
        <s v="A0058 - MEN'S BASKETBALL PROGRAM"/>
        <s v="A0059 - WOMEN'S BASKETBALL PROGRAM"/>
        <s v="A0060 - MENS TRACK &amp; FIELD PROGRAM"/>
        <s v="A0061 - WOMENS TRACK &amp; FIELD PROGRAM"/>
        <s v="A0062 - WOMENS ROWING PROGRAM"/>
        <s v="A0063 - WOMENS SOFTBALL PROGRAM"/>
        <s v="A0064 - WOMENS TRIATHLON"/>
        <s v="HA100 - HOUSING TRUST FUND"/>
        <s v="HA110 - DINING SERVICES"/>
        <s v="HC100 - STUDENT ACTIVITIES CTR TRUST"/>
        <s v="HX100 - SAC CENTER ARTS MISC REV TRUST"/>
        <s v="HC101 - CAMPUS REC TRUST FUND"/>
        <s v="HX101 - CAMPUS REC MISC REV TRUST"/>
        <s v="TO120 - IRA ATHLETICS FUND"/>
        <s v="TX001 - INTERCOLLEGIATE ATHLETICS TR"/>
        <s v="TX005 - RECREATIONAL SPORTS TR"/>
        <s v="HM500 - OPERATING FUND"/>
        <s v="HM505 - HEALTH SERVICE OPERATING FUND"/>
        <s v="HM506 - AUGMENTED HEALTH SERVICES"/>
        <s v="HM542 - CONSTRUCTION ADMINISTRATION"/>
        <s v="TO110 - SUSTAIN HUM INNOVATION FUTURES"/>
        <s v="TO130 - IRA JACK PASS FUND"/>
        <s v="TO140 - IRA COMMITTEE FUND"/>
        <s v="TL001 - EXTENDED EDUCATION"/>
        <s v="TL006 - EXT ED EARLY START PROGRAM"/>
        <s v="TL201 - CEEE SOCIAL WORK MSW"/>
        <s v="TL202 - CEEE APPLIED ANTHROPOLOGY MA"/>
        <s v="TL301 - CEEE LEADERSHIP STUDIES BA"/>
        <s v="TL401 - CEEE GEOSPATIAL CERTIFICATE"/>
        <s v="TM001 - HEALTH FACILITIES"/>
        <s v="TP004 - C+G HSU CHILDRENS CTR"/>
        <s v="TP060 - C+G CC EARLY HEAD START"/>
        <s v="TV020 - OT HSU CHLD CENTER TRUST"/>
        <s v="TS001 - PARKING FINES + FORFEITURES"/>
        <s v="TS003 - PARKING FEES"/>
        <s v="TU001 - LOTTERY-LEF"/>
        <s v="TU007 - LOTTERY - ACCESS &amp; ACAD DEVELP"/>
        <s v="TU009 - LOTTERY -PRE DOCTORAL PROG"/>
        <s v="TV061 - BOOKSTORE TRUST FUND"/>
        <s v="TL501 - PACE REVENUE SHARING"/>
        <s v="TU005 - LOTTERY - FUTURE SCHOLAR"/>
        <s v="TU006 - LOTTERY - INSTR DISCRET"/>
        <s v="TU008 - LOTTERY - TEACHER RECRUITMT"/>
        <s v="TV062 - EUREKA STORE TRUST FUND"/>
      </sharedItems>
    </cacheField>
    <cacheField name="Orig Base" numFmtId="165">
      <sharedItems containsSemiMixedTypes="0" containsString="0" containsNumber="1" containsInteger="1" minValue="0" maxValue="158666757"/>
    </cacheField>
    <cacheField name="Adj Bud" numFmtId="165">
      <sharedItems containsSemiMixedTypes="0" containsString="0" containsNumber="1" containsInteger="1" minValue="-77200" maxValue="23892535"/>
    </cacheField>
    <cacheField name="Final Bud" numFmtId="165">
      <sharedItems containsSemiMixedTypes="0" containsString="0" containsNumber="1" containsInteger="1" minValue="0" maxValue="182559292"/>
    </cacheField>
    <cacheField name="Actual" numFmtId="165">
      <sharedItems containsSemiMixedTypes="0" containsString="0" containsNumber="1" minValue="-51400.4" maxValue="101255051.91"/>
    </cacheField>
    <cacheField name="Encumb" numFmtId="165">
      <sharedItems containsSemiMixedTypes="0" containsString="0" containsNumber="1" minValue="0" maxValue="2518020.8699969999"/>
    </cacheField>
    <cacheField name="YTD Total" numFmtId="165">
      <sharedItems containsSemiMixedTypes="0" containsString="0" containsNumber="1" minValue="-51400.4" maxValue="101255051.91"/>
    </cacheField>
    <cacheField name="YTD Bal" numFmtId="165">
      <sharedItems containsSemiMixedTypes="0" containsString="0" containsNumber="1" minValue="-61953755.090000004" maxValue="101665341.450003"/>
    </cacheField>
    <cacheField name="YTD %" numFmtId="166">
      <sharedItems containsSemiMixedTypes="0" containsString="0" containsNumber="1" minValue="-1" maxValue="9.99"/>
    </cacheField>
    <cacheField name="Projection" numFmtId="165">
      <sharedItems containsSemiMixedTypes="0" containsString="0" containsNumber="1" minValue="0" maxValue="157155903.36666301"/>
    </cacheField>
    <cacheField name="Projection Adj" numFmtId="165">
      <sharedItems containsSemiMixedTypes="0" containsString="0" containsNumber="1" minValue="-2793804" maxValue="10508259.77"/>
    </cacheField>
    <cacheField name="Final Proj" numFmtId="165">
      <sharedItems containsSemiMixedTypes="0" containsString="0" containsNumber="1" minValue="0" maxValue="165764879.82328501"/>
    </cacheField>
    <cacheField name="Proj Bal" numFmtId="165">
      <sharedItems containsSemiMixedTypes="0" containsString="0" containsNumber="1" minValue="-1486067.1199980001" maxValue="14276391.306717999"/>
    </cacheField>
    <cacheField name="Proj % " numFmtId="166">
      <sharedItems containsSemiMixedTypes="0" containsString="0" containsNumber="1" minValue="-1" maxValue="9.99"/>
    </cacheField>
  </cacheFields>
  <extLst>
    <ext xmlns:x14="http://schemas.microsoft.com/office/spreadsheetml/2009/9/main" uri="{725AE2AE-9491-48be-B2B4-4EB974FC3084}">
      <x14:pivotCacheDefinition pivotCacheId="119240070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4">
  <r>
    <x v="0"/>
    <x v="0"/>
    <x v="0"/>
    <n v="90000"/>
    <n v="0"/>
    <n v="90000"/>
    <n v="62240.800000000003"/>
    <n v="0"/>
    <n v="62240.800000000003"/>
    <n v="-27759.200000000001"/>
    <n v="0.69156444444444443"/>
    <n v="104867.099999"/>
    <n v="0"/>
    <n v="104867.099999"/>
    <n v="14867.099999"/>
    <n v="1.1651899999888888"/>
  </r>
  <r>
    <x v="0"/>
    <x v="0"/>
    <x v="1"/>
    <n v="27300"/>
    <n v="0"/>
    <n v="27300"/>
    <n v="736.25"/>
    <n v="0"/>
    <n v="736.25"/>
    <n v="-26563.75"/>
    <n v="2.696886446886447E-2"/>
    <n v="6229.4333329999999"/>
    <n v="0"/>
    <n v="6229.4333329999999"/>
    <n v="-21070.566666999999"/>
    <n v="0.22818437117216117"/>
  </r>
  <r>
    <x v="0"/>
    <x v="0"/>
    <x v="2"/>
    <n v="5000"/>
    <n v="0"/>
    <n v="5000"/>
    <n v="1925"/>
    <n v="0"/>
    <n v="1925"/>
    <n v="-3075"/>
    <n v="0.38500000000000001"/>
    <n v="2587.1066660000001"/>
    <n v="0"/>
    <n v="2587.1066660000001"/>
    <n v="-2412.8933339999999"/>
    <n v="0.51742133320000006"/>
  </r>
  <r>
    <x v="0"/>
    <x v="0"/>
    <x v="3"/>
    <n v="6000"/>
    <n v="0"/>
    <n v="6000"/>
    <n v="1412.5"/>
    <n v="0"/>
    <n v="1412.5"/>
    <n v="-4587.5"/>
    <n v="0.23541666666666666"/>
    <n v="2307.7733330000001"/>
    <n v="0"/>
    <n v="2307.7733330000001"/>
    <n v="-3692.2266669999999"/>
    <n v="0.38462888883333335"/>
  </r>
  <r>
    <x v="0"/>
    <x v="0"/>
    <x v="4"/>
    <n v="11000"/>
    <n v="0"/>
    <n v="11000"/>
    <n v="1475"/>
    <n v="0"/>
    <n v="1475"/>
    <n v="-9525"/>
    <n v="0.13409090909090909"/>
    <n v="4409.2233329999999"/>
    <n v="0"/>
    <n v="4409.2233329999999"/>
    <n v="-6590.7766670000001"/>
    <n v="0.40083848481818179"/>
  </r>
  <r>
    <x v="0"/>
    <x v="0"/>
    <x v="5"/>
    <n v="10000"/>
    <n v="0"/>
    <n v="10000"/>
    <n v="-692.5"/>
    <n v="0"/>
    <n v="-692.5"/>
    <n v="-10692.5"/>
    <n v="-6.9250000000000006E-2"/>
    <n v="7858.7433339999998"/>
    <n v="0"/>
    <n v="7858.7433339999998"/>
    <n v="-2141.2566660000002"/>
    <n v="0.78587433340000001"/>
  </r>
  <r>
    <x v="0"/>
    <x v="0"/>
    <x v="6"/>
    <n v="19000"/>
    <n v="0"/>
    <n v="19000"/>
    <n v="2750"/>
    <n v="0"/>
    <n v="2750"/>
    <n v="-16250"/>
    <n v="0.14473684210526316"/>
    <n v="2808.333333"/>
    <n v="0"/>
    <n v="2808.333333"/>
    <n v="-16191.666667"/>
    <n v="0.14780701752631578"/>
  </r>
  <r>
    <x v="0"/>
    <x v="0"/>
    <x v="7"/>
    <n v="6000"/>
    <n v="0"/>
    <n v="6000"/>
    <n v="6562.5"/>
    <n v="0"/>
    <n v="6562.5"/>
    <n v="562.5"/>
    <n v="1.09375"/>
    <n v="8105.6866659999996"/>
    <n v="0"/>
    <n v="8105.6866659999996"/>
    <n v="2105.6866660000001"/>
    <n v="1.3509477776666667"/>
  </r>
  <r>
    <x v="0"/>
    <x v="0"/>
    <x v="8"/>
    <n v="3800"/>
    <n v="0"/>
    <n v="3800"/>
    <n v="325"/>
    <n v="0"/>
    <n v="325"/>
    <n v="-3475"/>
    <n v="8.5526315789473686E-2"/>
    <n v="1080"/>
    <n v="0"/>
    <n v="1080"/>
    <n v="-2720"/>
    <n v="0.28421052631578947"/>
  </r>
  <r>
    <x v="0"/>
    <x v="0"/>
    <x v="9"/>
    <n v="4500"/>
    <n v="0"/>
    <n v="4500"/>
    <n v="1822.5"/>
    <n v="0"/>
    <n v="1822.5"/>
    <n v="-2677.5"/>
    <n v="0.40500000000000003"/>
    <n v="2534.876667"/>
    <n v="0"/>
    <n v="2534.876667"/>
    <n v="-1965.123333"/>
    <n v="0.56330592599999996"/>
  </r>
  <r>
    <x v="0"/>
    <x v="0"/>
    <x v="10"/>
    <n v="21200"/>
    <n v="0"/>
    <n v="21200"/>
    <n v="17558.09"/>
    <n v="0"/>
    <n v="17558.09"/>
    <n v="-3641.91"/>
    <n v="0.82821179245283016"/>
    <n v="21509.11"/>
    <n v="0"/>
    <n v="21509.11"/>
    <n v="309.11"/>
    <n v="1.0145806603773584"/>
  </r>
  <r>
    <x v="0"/>
    <x v="0"/>
    <x v="11"/>
    <n v="19000"/>
    <n v="0"/>
    <n v="19000"/>
    <n v="2015.5"/>
    <n v="0"/>
    <n v="2015.5"/>
    <n v="-16984.5"/>
    <n v="0.10607894736842105"/>
    <n v="5039.1833329999999"/>
    <n v="0"/>
    <n v="5039.1833329999999"/>
    <n v="-13960.816666999999"/>
    <n v="0.26522017542105264"/>
  </r>
  <r>
    <x v="0"/>
    <x v="0"/>
    <x v="12"/>
    <n v="4000"/>
    <n v="0"/>
    <n v="4000"/>
    <n v="50037.5"/>
    <n v="0"/>
    <n v="50037.5"/>
    <n v="46037.5"/>
    <n v="9.99"/>
    <n v="50577.353332999999"/>
    <n v="0"/>
    <n v="50577.353332999999"/>
    <n v="46577.353332999999"/>
    <n v="9.99"/>
  </r>
  <r>
    <x v="0"/>
    <x v="1"/>
    <x v="13"/>
    <n v="16349703"/>
    <n v="0"/>
    <n v="16349703"/>
    <n v="14331480.68"/>
    <n v="0"/>
    <n v="14331480.68"/>
    <n v="-2018222.32"/>
    <n v="0.87655908367265145"/>
    <n v="14789271.716666"/>
    <n v="113162"/>
    <n v="14902433.716666"/>
    <n v="-1447269.283334"/>
    <n v="0.91148039304848538"/>
  </r>
  <r>
    <x v="0"/>
    <x v="2"/>
    <x v="14"/>
    <n v="8919552"/>
    <n v="0"/>
    <n v="8919552"/>
    <n v="7966583.6600000001"/>
    <n v="0"/>
    <n v="7966583.6600000001"/>
    <n v="-952968.34"/>
    <n v="0.89315961833060675"/>
    <n v="11065216.530001"/>
    <n v="-2793804"/>
    <n v="8271412.5300009996"/>
    <n v="-648139.46999899996"/>
    <n v="0.92733497489571226"/>
  </r>
  <r>
    <x v="0"/>
    <x v="3"/>
    <x v="15"/>
    <n v="979575"/>
    <n v="0"/>
    <n v="979575"/>
    <n v="853436.81"/>
    <n v="0"/>
    <n v="853436.81"/>
    <n v="-126138.19"/>
    <n v="0.87123171783681697"/>
    <n v="901389.87"/>
    <n v="76289"/>
    <n v="977678.87"/>
    <n v="-1896.13"/>
    <n v="0.99806433402240768"/>
  </r>
  <r>
    <x v="0"/>
    <x v="3"/>
    <x v="16"/>
    <n v="366000"/>
    <n v="-77200"/>
    <n v="288800"/>
    <n v="243660.32"/>
    <n v="0"/>
    <n v="243660.32"/>
    <n v="-45139.68"/>
    <n v="0.84369916897506925"/>
    <n v="293050.90666600002"/>
    <n v="-41961"/>
    <n v="251089.906666"/>
    <n v="-37710.093333999997"/>
    <n v="0.86942488457756228"/>
  </r>
  <r>
    <x v="0"/>
    <x v="0"/>
    <x v="17"/>
    <n v="603000"/>
    <n v="0"/>
    <n v="603000"/>
    <n v="591106.02"/>
    <n v="0"/>
    <n v="591106.02"/>
    <n v="-11893.98"/>
    <n v="0.98027532338308454"/>
    <n v="797453.38666600001"/>
    <n v="-183005"/>
    <n v="614448.38666600001"/>
    <n v="11448.386666"/>
    <n v="1.0189857158640132"/>
  </r>
  <r>
    <x v="0"/>
    <x v="0"/>
    <x v="18"/>
    <n v="124500"/>
    <n v="0"/>
    <n v="124500"/>
    <n v="84476.12"/>
    <n v="0"/>
    <n v="84476.12"/>
    <n v="-40023.879999999997"/>
    <n v="0.67852305220883535"/>
    <n v="139902.50666700001"/>
    <n v="-16500"/>
    <n v="123402.50666699999"/>
    <n v="-1097.4933329999999"/>
    <n v="0.99118479250602409"/>
  </r>
  <r>
    <x v="0"/>
    <x v="0"/>
    <x v="19"/>
    <n v="2840000"/>
    <n v="0"/>
    <n v="2840000"/>
    <n v="2809975.95"/>
    <n v="0"/>
    <n v="2809975.95"/>
    <n v="-30024.05"/>
    <n v="0.98942815140845075"/>
    <n v="2890739.4066670001"/>
    <n v="0"/>
    <n v="2890739.4066670001"/>
    <n v="50739.406667000003"/>
    <n v="1.0178659882630281"/>
  </r>
  <r>
    <x v="0"/>
    <x v="0"/>
    <x v="20"/>
    <n v="239359"/>
    <n v="0"/>
    <n v="239359"/>
    <n v="67762.97"/>
    <n v="0"/>
    <n v="67762.97"/>
    <n v="-171596.03"/>
    <n v="0.28310182612728163"/>
    <n v="208347.486664"/>
    <n v="0"/>
    <n v="208347.486664"/>
    <n v="-31011.513336"/>
    <n v="0.87043932613354835"/>
  </r>
  <r>
    <x v="0"/>
    <x v="0"/>
    <x v="21"/>
    <n v="0"/>
    <n v="0"/>
    <n v="0"/>
    <n v="2407"/>
    <n v="0"/>
    <n v="2407"/>
    <n v="2407"/>
    <n v="1"/>
    <n v="3358.733334"/>
    <n v="0"/>
    <n v="3358.733334"/>
    <n v="3358.733334"/>
    <n v="1"/>
  </r>
  <r>
    <x v="0"/>
    <x v="4"/>
    <x v="22"/>
    <n v="158666757"/>
    <n v="4542050"/>
    <n v="163208807"/>
    <n v="101255051.91"/>
    <n v="0"/>
    <n v="101255051.91"/>
    <n v="-61953755.090000004"/>
    <n v="0.62040188744226288"/>
    <n v="157155903.36666301"/>
    <n v="7995938"/>
    <n v="165151841.36666301"/>
    <n v="1943034.3666630001"/>
    <n v="1.0119052053769562"/>
  </r>
  <r>
    <x v="0"/>
    <x v="5"/>
    <x v="23"/>
    <n v="5612825"/>
    <n v="55166"/>
    <n v="5667991"/>
    <n v="3798901.84"/>
    <n v="0"/>
    <n v="3798901.84"/>
    <n v="-1869089.16"/>
    <n v="0.67023780383560949"/>
    <n v="3909014.989999"/>
    <n v="1803991"/>
    <n v="5713005.989999"/>
    <n v="45014.989998999998"/>
    <n v="1.0079419656804325"/>
  </r>
  <r>
    <x v="0"/>
    <x v="5"/>
    <x v="24"/>
    <n v="358500"/>
    <n v="0"/>
    <n v="358500"/>
    <n v="363076.01"/>
    <n v="0"/>
    <n v="363076.01"/>
    <n v="4576.01"/>
    <n v="1.0127643235704324"/>
    <n v="601052.35333399998"/>
    <n v="0"/>
    <n v="601052.35333399998"/>
    <n v="242552.35333400001"/>
    <n v="1.6765756020474198"/>
  </r>
  <r>
    <x v="0"/>
    <x v="6"/>
    <x v="25"/>
    <n v="4457953"/>
    <n v="0"/>
    <n v="4457953"/>
    <n v="156457.59"/>
    <n v="0"/>
    <n v="156457.59"/>
    <n v="-4301495.41"/>
    <n v="3.5096285223285215E-2"/>
    <n v="3861487.3999990001"/>
    <n v="0"/>
    <n v="3861487.3999990001"/>
    <n v="-596465.60000099998"/>
    <n v="0.86620190926171725"/>
  </r>
  <r>
    <x v="0"/>
    <x v="7"/>
    <x v="26"/>
    <n v="145000"/>
    <n v="0"/>
    <n v="145000"/>
    <n v="143599.65"/>
    <n v="0"/>
    <n v="143599.65"/>
    <n v="-1400.35"/>
    <n v="0.99034241379310339"/>
    <n v="147726.93999899999"/>
    <n v="0"/>
    <n v="147726.93999899999"/>
    <n v="2726.9399990000002"/>
    <n v="1.018806482751724"/>
  </r>
  <r>
    <x v="0"/>
    <x v="8"/>
    <x v="27"/>
    <n v="314000"/>
    <n v="0"/>
    <n v="314000"/>
    <n v="310756.75"/>
    <n v="0"/>
    <n v="310756.75"/>
    <n v="-3243.25"/>
    <n v="0.98967117834394902"/>
    <n v="319688.436667"/>
    <n v="0"/>
    <n v="319688.436667"/>
    <n v="5688.4366669999999"/>
    <n v="1.0181160403407643"/>
  </r>
  <r>
    <x v="0"/>
    <x v="9"/>
    <x v="28"/>
    <n v="348000"/>
    <n v="0"/>
    <n v="348000"/>
    <n v="344379.76"/>
    <n v="0"/>
    <n v="344379.76"/>
    <n v="-3620.24"/>
    <n v="0.98959701149425283"/>
    <n v="354277.873333"/>
    <n v="0"/>
    <n v="354277.873333"/>
    <n v="6277.8733329999995"/>
    <n v="1.0180398658994252"/>
  </r>
  <r>
    <x v="0"/>
    <x v="10"/>
    <x v="29"/>
    <n v="2746702"/>
    <n v="0"/>
    <n v="2746702"/>
    <n v="559859.18000000005"/>
    <n v="0"/>
    <n v="559859.18000000005"/>
    <n v="-2186842.8199999998"/>
    <n v="0.20382960364830258"/>
    <n v="1773126.289997"/>
    <n v="918361"/>
    <n v="2691487.2899969998"/>
    <n v="-55214.710003"/>
    <n v="0.97989781563380374"/>
  </r>
  <r>
    <x v="0"/>
    <x v="10"/>
    <x v="30"/>
    <n v="20000"/>
    <n v="0"/>
    <n v="20000"/>
    <n v="0"/>
    <n v="0"/>
    <n v="0"/>
    <n v="-20000"/>
    <n v="0"/>
    <n v="1528"/>
    <n v="0"/>
    <n v="1528"/>
    <n v="-18472"/>
    <n v="7.6399999999999996E-2"/>
  </r>
  <r>
    <x v="0"/>
    <x v="10"/>
    <x v="31"/>
    <n v="1196000"/>
    <n v="0"/>
    <n v="1196000"/>
    <n v="834076.09"/>
    <n v="0"/>
    <n v="834076.09"/>
    <n v="-361923.91"/>
    <n v="0.69738803511705683"/>
    <n v="1328598.1566659999"/>
    <n v="0"/>
    <n v="1328598.1566659999"/>
    <n v="132598.156666"/>
    <n v="1.1108680239682274"/>
  </r>
  <r>
    <x v="0"/>
    <x v="10"/>
    <x v="32"/>
    <n v="1500"/>
    <n v="0"/>
    <n v="1500"/>
    <n v="0"/>
    <n v="0"/>
    <n v="0"/>
    <n v="-1500"/>
    <n v="0"/>
    <n v="0"/>
    <n v="0"/>
    <n v="0"/>
    <n v="-1500"/>
    <n v="0"/>
  </r>
  <r>
    <x v="0"/>
    <x v="10"/>
    <x v="33"/>
    <n v="418000"/>
    <n v="0"/>
    <n v="418000"/>
    <n v="446577.48"/>
    <n v="0"/>
    <n v="446577.48"/>
    <n v="28577.48"/>
    <n v="1.0683671770334928"/>
    <n v="481994.11999899999"/>
    <n v="0"/>
    <n v="481994.11999899999"/>
    <n v="63994.119999000002"/>
    <n v="1.1530959808588517"/>
  </r>
  <r>
    <x v="0"/>
    <x v="10"/>
    <x v="34"/>
    <n v="35000"/>
    <n v="0"/>
    <n v="35000"/>
    <n v="41897.33"/>
    <n v="0"/>
    <n v="41897.33"/>
    <n v="6897.33"/>
    <n v="1.1970665714285715"/>
    <n v="59705.303333000003"/>
    <n v="0"/>
    <n v="59705.303333000003"/>
    <n v="24705.303333"/>
    <n v="1.7058658095142858"/>
  </r>
  <r>
    <x v="0"/>
    <x v="11"/>
    <x v="35"/>
    <n v="367000"/>
    <n v="0"/>
    <n v="367000"/>
    <n v="359675.65"/>
    <n v="0"/>
    <n v="359675.65"/>
    <n v="-7324.35"/>
    <n v="0.98004264305177113"/>
    <n v="374028.34999900003"/>
    <n v="0"/>
    <n v="374028.34999900003"/>
    <n v="7028.349999"/>
    <n v="1.0191508174359674"/>
  </r>
  <r>
    <x v="0"/>
    <x v="12"/>
    <x v="36"/>
    <n v="941273"/>
    <n v="0"/>
    <n v="941273"/>
    <n v="670749.81000000006"/>
    <n v="0"/>
    <n v="670749.81000000006"/>
    <n v="-270523.19"/>
    <n v="0.712598587232397"/>
    <n v="1007868.936668"/>
    <n v="-122303"/>
    <n v="885565.93666799995"/>
    <n v="-55707.063331999998"/>
    <n v="0.94081731513386657"/>
  </r>
  <r>
    <x v="0"/>
    <x v="12"/>
    <x v="37"/>
    <n v="100168"/>
    <n v="0"/>
    <n v="100168"/>
    <n v="69074"/>
    <n v="0"/>
    <n v="69074"/>
    <n v="-31094"/>
    <n v="0.68958150307483423"/>
    <n v="114367.446667"/>
    <n v="-14199"/>
    <n v="100168.446667"/>
    <n v="0.44666699999999998"/>
    <n v="1.0000044591785799"/>
  </r>
  <r>
    <x v="0"/>
    <x v="12"/>
    <x v="38"/>
    <n v="201400"/>
    <n v="0"/>
    <n v="201400"/>
    <n v="84727.3"/>
    <n v="0"/>
    <n v="84727.3"/>
    <n v="-116672.7"/>
    <n v="0.42069165839126116"/>
    <n v="218904.63333400001"/>
    <n v="-12905"/>
    <n v="205999.63333400001"/>
    <n v="4599.6333340000001"/>
    <n v="1.0228382985799405"/>
  </r>
  <r>
    <x v="0"/>
    <x v="13"/>
    <x v="39"/>
    <n v="74713"/>
    <n v="0"/>
    <n v="74713"/>
    <n v="-51400.4"/>
    <n v="0"/>
    <n v="-51400.4"/>
    <n v="-126113.4"/>
    <n v="-0.68797130352147551"/>
    <n v="83005.976666000002"/>
    <n v="0"/>
    <n v="83005.976666000002"/>
    <n v="8292.9766660000005"/>
    <n v="1.1109977736940024"/>
  </r>
  <r>
    <x v="0"/>
    <x v="13"/>
    <x v="40"/>
    <n v="969000"/>
    <n v="0"/>
    <n v="969000"/>
    <n v="668449.73"/>
    <n v="0"/>
    <n v="668449.73"/>
    <n v="-300550.27"/>
    <n v="0.68983460268317853"/>
    <n v="898072.34333399998"/>
    <n v="0"/>
    <n v="898072.34333399998"/>
    <n v="-70927.656665999995"/>
    <n v="0.92680324389473689"/>
  </r>
  <r>
    <x v="0"/>
    <x v="14"/>
    <x v="41"/>
    <n v="853000"/>
    <n v="0"/>
    <n v="853000"/>
    <n v="430000"/>
    <n v="0"/>
    <n v="430000"/>
    <n v="-423000"/>
    <n v="0.50410316529894494"/>
    <n v="430000"/>
    <n v="423000"/>
    <n v="853000"/>
    <n v="0"/>
    <n v="1"/>
  </r>
  <r>
    <x v="0"/>
    <x v="14"/>
    <x v="42"/>
    <n v="100000"/>
    <n v="0"/>
    <n v="100000"/>
    <n v="100000"/>
    <n v="0"/>
    <n v="100000"/>
    <n v="0"/>
    <n v="1"/>
    <n v="100000"/>
    <n v="0"/>
    <n v="100000"/>
    <n v="0"/>
    <n v="1"/>
  </r>
  <r>
    <x v="0"/>
    <x v="14"/>
    <x v="43"/>
    <n v="2000"/>
    <n v="0"/>
    <n v="2000"/>
    <n v="2000"/>
    <n v="0"/>
    <n v="2000"/>
    <n v="0"/>
    <n v="1"/>
    <n v="2000"/>
    <n v="0"/>
    <n v="2000"/>
    <n v="0"/>
    <n v="1"/>
  </r>
  <r>
    <x v="0"/>
    <x v="15"/>
    <x v="44"/>
    <n v="200000"/>
    <n v="0"/>
    <n v="200000"/>
    <n v="86676.800000000003"/>
    <n v="0"/>
    <n v="86676.800000000003"/>
    <n v="-113323.2"/>
    <n v="0.43338399999999999"/>
    <n v="145110.29"/>
    <n v="0"/>
    <n v="145110.29"/>
    <n v="-54889.71"/>
    <n v="0.72555144999999999"/>
  </r>
  <r>
    <x v="1"/>
    <x v="0"/>
    <x v="0"/>
    <n v="49750"/>
    <n v="0"/>
    <n v="49750"/>
    <n v="55116.88"/>
    <n v="0"/>
    <n v="55116.88"/>
    <n v="-5366.88"/>
    <n v="1.1078769849246231"/>
    <n v="71047.063330999998"/>
    <n v="0"/>
    <n v="71047.063330999998"/>
    <n v="-21297.063331000001"/>
    <n v="1.428081674994975"/>
  </r>
  <r>
    <x v="1"/>
    <x v="0"/>
    <x v="1"/>
    <n v="0"/>
    <n v="0"/>
    <n v="0"/>
    <n v="1763.57"/>
    <n v="0"/>
    <n v="1763.57"/>
    <n v="-1763.57"/>
    <n v="-1"/>
    <n v="2400.9299999999998"/>
    <n v="0"/>
    <n v="2400.9299999999998"/>
    <n v="-2400.9299999999998"/>
    <n v="-1"/>
  </r>
  <r>
    <x v="1"/>
    <x v="0"/>
    <x v="2"/>
    <n v="0"/>
    <n v="0"/>
    <n v="0"/>
    <n v="921.28"/>
    <n v="0"/>
    <n v="921.28"/>
    <n v="-921.28"/>
    <n v="-1"/>
    <n v="924.98333300000002"/>
    <n v="0"/>
    <n v="924.98333300000002"/>
    <n v="-924.98333300000002"/>
    <n v="-1"/>
  </r>
  <r>
    <x v="1"/>
    <x v="0"/>
    <x v="3"/>
    <n v="0"/>
    <n v="0"/>
    <n v="0"/>
    <n v="-953.88"/>
    <n v="0"/>
    <n v="-953.88"/>
    <n v="953.88"/>
    <n v="-1"/>
    <n v="1516.8699979999999"/>
    <n v="0"/>
    <n v="1516.8699979999999"/>
    <n v="-1516.8699979999999"/>
    <n v="-1"/>
  </r>
  <r>
    <x v="1"/>
    <x v="0"/>
    <x v="4"/>
    <n v="500"/>
    <n v="0"/>
    <n v="500"/>
    <n v="5625.28"/>
    <n v="0"/>
    <n v="5625.28"/>
    <n v="-5125.28"/>
    <n v="9.99"/>
    <n v="5659.2233329999999"/>
    <n v="0"/>
    <n v="5659.2233329999999"/>
    <n v="-5159.2233329999999"/>
    <n v="9.99"/>
  </r>
  <r>
    <x v="1"/>
    <x v="0"/>
    <x v="5"/>
    <n v="0"/>
    <n v="0"/>
    <n v="0"/>
    <n v="60.38"/>
    <n v="0"/>
    <n v="60.38"/>
    <n v="-60.38"/>
    <n v="-1"/>
    <n v="63.29"/>
    <n v="0"/>
    <n v="63.29"/>
    <n v="-63.29"/>
    <n v="-1"/>
  </r>
  <r>
    <x v="1"/>
    <x v="0"/>
    <x v="6"/>
    <n v="2000"/>
    <n v="0"/>
    <n v="2000"/>
    <n v="467.43"/>
    <n v="0"/>
    <n v="467.43"/>
    <n v="1532.57"/>
    <n v="0.23371500000000001"/>
    <n v="467.43"/>
    <n v="0"/>
    <n v="467.43"/>
    <n v="1532.57"/>
    <n v="0.23371500000000001"/>
  </r>
  <r>
    <x v="1"/>
    <x v="0"/>
    <x v="7"/>
    <n v="0"/>
    <n v="0"/>
    <n v="0"/>
    <n v="-1694.54"/>
    <n v="0"/>
    <n v="-1694.54"/>
    <n v="1694.54"/>
    <n v="-1"/>
    <n v="1847.9166660000001"/>
    <n v="0"/>
    <n v="1847.9166660000001"/>
    <n v="-1847.9166660000001"/>
    <n v="-1"/>
  </r>
  <r>
    <x v="1"/>
    <x v="0"/>
    <x v="8"/>
    <n v="0"/>
    <n v="0"/>
    <n v="0"/>
    <n v="1615.58"/>
    <n v="0"/>
    <n v="1615.58"/>
    <n v="-1615.58"/>
    <n v="-1"/>
    <n v="1619.083333"/>
    <n v="0"/>
    <n v="1619.083333"/>
    <n v="-1619.083333"/>
    <n v="-1"/>
  </r>
  <r>
    <x v="1"/>
    <x v="0"/>
    <x v="9"/>
    <n v="0"/>
    <n v="0"/>
    <n v="0"/>
    <n v="1690.45"/>
    <n v="0"/>
    <n v="1690.45"/>
    <n v="-1690.45"/>
    <n v="-1"/>
    <n v="1691.756666"/>
    <n v="0"/>
    <n v="1691.756666"/>
    <n v="-1691.756666"/>
    <n v="-1"/>
  </r>
  <r>
    <x v="1"/>
    <x v="0"/>
    <x v="10"/>
    <n v="150"/>
    <n v="0"/>
    <n v="150"/>
    <n v="4794.83"/>
    <n v="0"/>
    <n v="4794.83"/>
    <n v="-4644.83"/>
    <n v="9.99"/>
    <n v="4862.4066670000002"/>
    <n v="0"/>
    <n v="4862.4066670000002"/>
    <n v="-4712.4066670000002"/>
    <n v="9.99"/>
  </r>
  <r>
    <x v="1"/>
    <x v="0"/>
    <x v="11"/>
    <n v="1700"/>
    <n v="0"/>
    <n v="1700"/>
    <n v="100.78"/>
    <n v="0"/>
    <n v="100.78"/>
    <n v="1599.22"/>
    <n v="5.9282352941176474E-2"/>
    <n v="103.29"/>
    <n v="0"/>
    <n v="103.29"/>
    <n v="1596.71"/>
    <n v="6.0758823529411768E-2"/>
  </r>
  <r>
    <x v="1"/>
    <x v="0"/>
    <x v="12"/>
    <n v="0"/>
    <n v="0"/>
    <n v="0"/>
    <n v="4537.08"/>
    <n v="0"/>
    <n v="4537.08"/>
    <n v="-4537.08"/>
    <n v="-1"/>
    <n v="4564.0733330000003"/>
    <n v="0"/>
    <n v="4564.0733330000003"/>
    <n v="-4564.0733330000003"/>
    <n v="-1"/>
  </r>
  <r>
    <x v="1"/>
    <x v="1"/>
    <x v="13"/>
    <n v="15385312"/>
    <n v="0"/>
    <n v="15385312"/>
    <n v="7895805.1699999999"/>
    <n v="1264366.01"/>
    <n v="9160171.1799999997"/>
    <n v="6225140.8200000003"/>
    <n v="0.59538416770488634"/>
    <n v="13491973.109998001"/>
    <n v="2115040"/>
    <n v="15607013.109998001"/>
    <n v="-1486067.1199980001"/>
    <n v="1.0965899892051587"/>
  </r>
  <r>
    <x v="1"/>
    <x v="2"/>
    <x v="14"/>
    <n v="8895827"/>
    <n v="0"/>
    <n v="8895827"/>
    <n v="3459054.27"/>
    <n v="232484.37"/>
    <n v="3691538.64"/>
    <n v="5204288.3600000003"/>
    <n v="0.41497419407998831"/>
    <n v="8468029.7266659997"/>
    <n v="-423000"/>
    <n v="8045029.7266659997"/>
    <n v="618312.90333400003"/>
    <n v="0.93049405037508037"/>
  </r>
  <r>
    <x v="1"/>
    <x v="3"/>
    <x v="15"/>
    <n v="1059616"/>
    <n v="0"/>
    <n v="1059616"/>
    <n v="542683.04"/>
    <n v="12396.97"/>
    <n v="555080.01"/>
    <n v="504535.99"/>
    <n v="0.52385015892549758"/>
    <n v="894388.17666600004"/>
    <n v="120605"/>
    <n v="1014993.176666"/>
    <n v="32225.853333999999"/>
    <n v="0.96958723411688763"/>
  </r>
  <r>
    <x v="1"/>
    <x v="3"/>
    <x v="16"/>
    <n v="618000"/>
    <n v="-77200"/>
    <n v="540800"/>
    <n v="218856.35"/>
    <n v="21323.149999000001"/>
    <n v="240179.49999899999"/>
    <n v="300620.50000100001"/>
    <n v="0.44411889792714498"/>
    <n v="328622.17333600001"/>
    <n v="150210"/>
    <n v="478832.17333600001"/>
    <n v="40644.676664999999"/>
    <n v="0.92484342332655323"/>
  </r>
  <r>
    <x v="1"/>
    <x v="0"/>
    <x v="17"/>
    <n v="1108632"/>
    <n v="0"/>
    <n v="1108632"/>
    <n v="631336.43999999994"/>
    <n v="0"/>
    <n v="631336.43999999994"/>
    <n v="477295.56"/>
    <n v="0.56947340506137289"/>
    <n v="969646.74666599999"/>
    <n v="83655"/>
    <n v="1053301.746666"/>
    <n v="55330.253334000001"/>
    <n v="0.95009141596670488"/>
  </r>
  <r>
    <x v="1"/>
    <x v="0"/>
    <x v="18"/>
    <n v="45000"/>
    <n v="0"/>
    <n v="45000"/>
    <n v="23185.14"/>
    <n v="57958.3"/>
    <n v="81143.44"/>
    <n v="-36143.440000000002"/>
    <n v="1.8031875555555557"/>
    <n v="34818.04"/>
    <n v="0"/>
    <n v="34818.04"/>
    <n v="-47776.34"/>
    <n v="2.0616964444444443"/>
  </r>
  <r>
    <x v="1"/>
    <x v="0"/>
    <x v="19"/>
    <n v="4550619"/>
    <n v="0"/>
    <n v="4550619"/>
    <n v="1119442.52"/>
    <n v="261076.51"/>
    <n v="1380519.03"/>
    <n v="3170099.97"/>
    <n v="0.30336950423667636"/>
    <n v="2150065.9999799998"/>
    <n v="740673"/>
    <n v="2890738.9999799998"/>
    <n v="1398803.4900199999"/>
    <n v="0.69261247974835949"/>
  </r>
  <r>
    <x v="1"/>
    <x v="0"/>
    <x v="20"/>
    <n v="180759"/>
    <n v="0"/>
    <n v="180759"/>
    <n v="99881.58"/>
    <n v="0"/>
    <n v="99881.58"/>
    <n v="80877.42"/>
    <n v="0.55256767297893883"/>
    <n v="102769.843333"/>
    <n v="0"/>
    <n v="102769.843333"/>
    <n v="77989.156667000003"/>
    <n v="0.56854620424432534"/>
  </r>
  <r>
    <x v="1"/>
    <x v="0"/>
    <x v="21"/>
    <n v="0"/>
    <n v="0"/>
    <n v="0"/>
    <n v="3460.06"/>
    <n v="0"/>
    <n v="3460.06"/>
    <n v="-3460.06"/>
    <n v="-1"/>
    <n v="5046.0466669999996"/>
    <n v="0"/>
    <n v="5046.0466669999996"/>
    <n v="-5046.0466669999996"/>
    <n v="-1"/>
  </r>
  <r>
    <x v="1"/>
    <x v="4"/>
    <x v="22"/>
    <n v="158666757"/>
    <n v="23892535"/>
    <n v="182559292"/>
    <n v="78375929.680000007"/>
    <n v="2518020.8699969999"/>
    <n v="80893950.549997002"/>
    <n v="101665341.450003"/>
    <n v="0.44311056240290964"/>
    <n v="155256620.053285"/>
    <n v="10508259.77"/>
    <n v="165764879.82328501"/>
    <n v="14276391.306717999"/>
    <n v="0.92179860498846589"/>
  </r>
  <r>
    <x v="1"/>
    <x v="5"/>
    <x v="23"/>
    <n v="6697245"/>
    <n v="55166"/>
    <n v="6752411"/>
    <n v="3083063.34"/>
    <n v="15901.83"/>
    <n v="3098965.17"/>
    <n v="3653445.83"/>
    <n v="0.45894202381934396"/>
    <n v="6397548.1933319997"/>
    <n v="-15000"/>
    <n v="6382548.1933319997"/>
    <n v="353960.97666799999"/>
    <n v="0.94758006041575371"/>
  </r>
  <r>
    <x v="1"/>
    <x v="5"/>
    <x v="24"/>
    <n v="368780"/>
    <n v="0"/>
    <n v="368780"/>
    <n v="165845.48000000001"/>
    <n v="467194.45"/>
    <n v="633039.93000000005"/>
    <n v="-264259.93"/>
    <n v="1.7165788003687836"/>
    <n v="357909.636665"/>
    <n v="0"/>
    <n v="357909.636665"/>
    <n v="-456324.08666500001"/>
    <n v="2.237388379697923"/>
  </r>
  <r>
    <x v="1"/>
    <x v="6"/>
    <x v="25"/>
    <n v="3246641"/>
    <n v="0"/>
    <n v="3246641"/>
    <n v="1136992.31"/>
    <n v="4697.8500000000004"/>
    <n v="1141690.1599999999"/>
    <n v="2104950.84"/>
    <n v="0.35165272661806463"/>
    <n v="2292261.6833330002"/>
    <n v="0"/>
    <n v="2292261.6833330002"/>
    <n v="949681.46666699997"/>
    <n v="0.70748799554154584"/>
  </r>
  <r>
    <x v="1"/>
    <x v="7"/>
    <x v="26"/>
    <n v="139000"/>
    <n v="80620"/>
    <n v="219620"/>
    <n v="24561.46"/>
    <n v="1753.71"/>
    <n v="26315.17"/>
    <n v="193304.83"/>
    <n v="0.11982137328112194"/>
    <n v="124415.593332"/>
    <n v="0"/>
    <n v="124415.593332"/>
    <n v="93450.696668000004"/>
    <n v="0.57448913273836621"/>
  </r>
  <r>
    <x v="1"/>
    <x v="8"/>
    <x v="27"/>
    <n v="392712"/>
    <n v="0"/>
    <n v="392712"/>
    <n v="142814.13"/>
    <n v="120032.86"/>
    <n v="262846.99"/>
    <n v="129865.01"/>
    <n v="0.66931234594308298"/>
    <n v="307294.556667"/>
    <n v="0"/>
    <n v="307294.556667"/>
    <n v="-34615.416666999998"/>
    <n v="1.0881445350969667"/>
  </r>
  <r>
    <x v="1"/>
    <x v="9"/>
    <x v="28"/>
    <n v="674097"/>
    <n v="0"/>
    <n v="674097"/>
    <n v="167702"/>
    <n v="8193.2199999999993"/>
    <n v="175895.22"/>
    <n v="498201.78"/>
    <n v="0.26093458359850291"/>
    <n v="395301.21333200001"/>
    <n v="0"/>
    <n v="395301.21333200001"/>
    <n v="270602.56666800001"/>
    <n v="0.59857028488778319"/>
  </r>
  <r>
    <x v="1"/>
    <x v="10"/>
    <x v="29"/>
    <n v="2994524"/>
    <n v="0"/>
    <n v="2994524"/>
    <n v="1508786.44"/>
    <n v="286203.48"/>
    <n v="1794989.92"/>
    <n v="1199534.0800000001"/>
    <n v="0.59942412216432395"/>
    <n v="3689155.8599979999"/>
    <n v="-716345"/>
    <n v="2972810.8599979999"/>
    <n v="-264490.33999800001"/>
    <n v="1.0883246686278019"/>
  </r>
  <r>
    <x v="1"/>
    <x v="10"/>
    <x v="30"/>
    <n v="13500"/>
    <n v="0"/>
    <n v="13500"/>
    <n v="0"/>
    <n v="0"/>
    <n v="0"/>
    <n v="13500"/>
    <n v="0"/>
    <n v="0"/>
    <n v="1528"/>
    <n v="1528"/>
    <n v="11972"/>
    <n v="0.11318518518518518"/>
  </r>
  <r>
    <x v="1"/>
    <x v="10"/>
    <x v="31"/>
    <n v="1184877"/>
    <n v="0"/>
    <n v="1184877"/>
    <n v="261340.46"/>
    <n v="0"/>
    <n v="261340.46"/>
    <n v="923536.54"/>
    <n v="0.22056336649289335"/>
    <n v="1357039.3333340001"/>
    <n v="0"/>
    <n v="1357039.3333340001"/>
    <n v="-172162.333334"/>
    <n v="1.1452997512264986"/>
  </r>
  <r>
    <x v="1"/>
    <x v="10"/>
    <x v="32"/>
    <n v="8162"/>
    <n v="0"/>
    <n v="8162"/>
    <n v="0"/>
    <n v="0"/>
    <n v="0"/>
    <n v="8162"/>
    <n v="0"/>
    <n v="0"/>
    <n v="0"/>
    <n v="0"/>
    <n v="8162"/>
    <n v="0"/>
  </r>
  <r>
    <x v="1"/>
    <x v="10"/>
    <x v="33"/>
    <n v="442444"/>
    <n v="0"/>
    <n v="442444"/>
    <n v="50633.47"/>
    <n v="0"/>
    <n v="50633.47"/>
    <n v="391810.53"/>
    <n v="0.11444040375731165"/>
    <n v="525397.36666499998"/>
    <n v="0"/>
    <n v="525397.36666499998"/>
    <n v="-82953.366664999994"/>
    <n v="1.1874889628178933"/>
  </r>
  <r>
    <x v="1"/>
    <x v="10"/>
    <x v="34"/>
    <n v="64255"/>
    <n v="0"/>
    <n v="64255"/>
    <n v="0"/>
    <n v="0"/>
    <n v="0"/>
    <n v="64255"/>
    <n v="0"/>
    <n v="1200"/>
    <n v="57505"/>
    <n v="58705"/>
    <n v="5550"/>
    <n v="0.91362539880164972"/>
  </r>
  <r>
    <x v="1"/>
    <x v="10"/>
    <x v="45"/>
    <n v="0"/>
    <n v="721655"/>
    <n v="721655"/>
    <n v="17383.7"/>
    <n v="0"/>
    <n v="17383.7"/>
    <n v="704271.3"/>
    <n v="2.4088657322404752E-2"/>
    <n v="23320.033331999999"/>
    <n v="0"/>
    <n v="23320.033331999999"/>
    <n v="698334.96666799998"/>
    <n v="3.2314656355183574E-2"/>
  </r>
  <r>
    <x v="1"/>
    <x v="11"/>
    <x v="35"/>
    <n v="367000"/>
    <n v="0"/>
    <n v="367000"/>
    <n v="16990.27"/>
    <n v="0"/>
    <n v="16990.27"/>
    <n v="350009.73"/>
    <n v="4.6295013623978198E-2"/>
    <n v="25529.536666"/>
    <n v="0"/>
    <n v="25529.536666"/>
    <n v="341470.46333399997"/>
    <n v="6.9562770207084471E-2"/>
  </r>
  <r>
    <x v="1"/>
    <x v="12"/>
    <x v="36"/>
    <n v="879583"/>
    <n v="0"/>
    <n v="879583"/>
    <n v="430008.99"/>
    <n v="12460"/>
    <n v="442468.99"/>
    <n v="437114.01"/>
    <n v="0.50304404473483455"/>
    <n v="874463.83"/>
    <n v="10948"/>
    <n v="885411.83"/>
    <n v="-18288.830000000002"/>
    <n v="1.0207926142274237"/>
  </r>
  <r>
    <x v="1"/>
    <x v="12"/>
    <x v="37"/>
    <n v="98792"/>
    <n v="0"/>
    <n v="98792"/>
    <n v="34920.379999999997"/>
    <n v="10625"/>
    <n v="45545.38"/>
    <n v="53246.62"/>
    <n v="0.46102295732447973"/>
    <n v="67308.83"/>
    <n v="20858"/>
    <n v="88166.83"/>
    <n v="0.17"/>
    <n v="0.99999827921289175"/>
  </r>
  <r>
    <x v="1"/>
    <x v="12"/>
    <x v="38"/>
    <n v="201400"/>
    <n v="0"/>
    <n v="201400"/>
    <n v="38262.720000000001"/>
    <n v="774.03"/>
    <n v="39036.75"/>
    <n v="162363.25"/>
    <n v="0.19382696127110227"/>
    <n v="49359.126666999997"/>
    <n v="155877"/>
    <n v="205236.126667"/>
    <n v="-4610.1566670000002"/>
    <n v="1.02289054948858"/>
  </r>
  <r>
    <x v="1"/>
    <x v="13"/>
    <x v="39"/>
    <n v="74713"/>
    <n v="0"/>
    <n v="74713"/>
    <n v="27254.06"/>
    <n v="52481.83"/>
    <n v="79735.89"/>
    <n v="-5022.8900000000003"/>
    <n v="1.0672291301379948"/>
    <n v="52095.93"/>
    <n v="0"/>
    <n v="52095.93"/>
    <n v="-29864.76"/>
    <n v="1.3997264197663057"/>
  </r>
  <r>
    <x v="1"/>
    <x v="13"/>
    <x v="40"/>
    <n v="969000"/>
    <n v="0"/>
    <n v="969000"/>
    <n v="256923.01"/>
    <n v="5892.81"/>
    <n v="262815.82"/>
    <n v="706184.18"/>
    <n v="0.27122375644994839"/>
    <n v="538480.75999799999"/>
    <n v="0"/>
    <n v="538480.75999799999"/>
    <n v="424626.43000200001"/>
    <n v="0.56178902992569657"/>
  </r>
  <r>
    <x v="1"/>
    <x v="14"/>
    <x v="46"/>
    <n v="30000"/>
    <n v="0"/>
    <n v="30000"/>
    <n v="9500"/>
    <n v="0"/>
    <n v="9500"/>
    <n v="20500"/>
    <n v="0.31666666666666665"/>
    <n v="22000"/>
    <n v="0"/>
    <n v="22000"/>
    <n v="8000"/>
    <n v="0.73333333333333328"/>
  </r>
  <r>
    <x v="1"/>
    <x v="14"/>
    <x v="47"/>
    <n v="756000"/>
    <n v="200227"/>
    <n v="956227"/>
    <n v="331020.03999999998"/>
    <n v="0"/>
    <n v="331020.03999999998"/>
    <n v="625206.96"/>
    <n v="0.3461730739667464"/>
    <n v="740607.21"/>
    <n v="0"/>
    <n v="740607.21"/>
    <n v="215619.79"/>
    <n v="0.77450982873313556"/>
  </r>
  <r>
    <x v="1"/>
    <x v="14"/>
    <x v="42"/>
    <n v="100000"/>
    <n v="313770"/>
    <n v="413770"/>
    <n v="33873.160000000003"/>
    <n v="0"/>
    <n v="33873.160000000003"/>
    <n v="379896.84"/>
    <n v="8.1864707446165738E-2"/>
    <n v="94003.913333000004"/>
    <n v="0"/>
    <n v="94003.913333000004"/>
    <n v="319766.08666700003"/>
    <n v="0.22718880859656332"/>
  </r>
  <r>
    <x v="1"/>
    <x v="14"/>
    <x v="48"/>
    <n v="75000"/>
    <n v="43263"/>
    <n v="118263"/>
    <n v="9596.16"/>
    <n v="0"/>
    <n v="9596.16"/>
    <n v="108666.84"/>
    <n v="8.1142538241039036E-2"/>
    <n v="40819.099998999998"/>
    <n v="0"/>
    <n v="40819.099998999998"/>
    <n v="77443.900001000002"/>
    <n v="0.34515528947346169"/>
  </r>
  <r>
    <x v="1"/>
    <x v="14"/>
    <x v="43"/>
    <n v="2000"/>
    <n v="0"/>
    <n v="2000"/>
    <n v="0"/>
    <n v="0"/>
    <n v="0"/>
    <n v="2000"/>
    <n v="0"/>
    <n v="0"/>
    <n v="0"/>
    <n v="0"/>
    <n v="2000"/>
    <n v="0"/>
  </r>
  <r>
    <x v="1"/>
    <x v="15"/>
    <x v="44"/>
    <n v="292558"/>
    <n v="0"/>
    <n v="292558"/>
    <n v="197602.71"/>
    <n v="73440"/>
    <n v="271042.71000000002"/>
    <n v="21515.29"/>
    <n v="0.92645803567155915"/>
    <n v="364845.58"/>
    <n v="-75205"/>
    <n v="289640.58"/>
    <n v="-70522.58"/>
    <n v="1.2410550386590009"/>
  </r>
  <r>
    <x v="1"/>
    <x v="15"/>
    <x v="49"/>
    <n v="97250"/>
    <n v="0"/>
    <n v="97250"/>
    <n v="75489.87"/>
    <n v="163651.1"/>
    <n v="239140.97"/>
    <n v="-141890.97"/>
    <n v="2.459033110539846"/>
    <n v="114748.32000199999"/>
    <n v="18834"/>
    <n v="133582.32000199999"/>
    <n v="-199983.420002"/>
    <n v="3.056384781511568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E4CC7C-5EBD-40B9-A186-3825C8526E73}" name="Current Year Projections" cacheId="17" applyNumberFormats="0" applyBorderFormats="0" applyFontFormats="0" applyPatternFormats="0" applyAlignmentFormats="0" applyWidthHeightFormats="0" dataCaption="" updatedVersion="8" rowGrandTotals="0" compact="0" compactData="0">
  <location ref="A10:K15" firstHeaderRow="1" firstDataRow="2" firstDataCol="3"/>
  <pivotFields count="16">
    <pivotField name="Account Type" axis="axisRow" compact="0" outline="0" multipleItemSelectionAllowed="1" showAll="0" sortType="ascending">
      <items count="3">
        <item x="1"/>
        <item x="0"/>
        <item t="default"/>
      </items>
    </pivotField>
    <pivotField name="Fund Group" axis="axisRow" compact="0" outline="0" multipleItemSelectionAllowed="1" showAll="0" sortType="ascending">
      <items count="17">
        <item h="1" sd="0" x="0"/>
        <item h="1" sd="0" x="15"/>
        <item h="1" sd="0" x="10"/>
        <item h="1" sd="0" x="12"/>
        <item h="1" sd="0" x="6"/>
        <item h="1" sd="0" x="2"/>
        <item h="1" sd="0" x="11"/>
        <item h="1" sd="0" x="1"/>
        <item h="1" sd="0" x="9"/>
        <item h="1" sd="0" x="8"/>
        <item h="1" sd="0" x="7"/>
        <item h="1" sd="0" x="14"/>
        <item sd="0" x="4"/>
        <item h="1" sd="0" x="13"/>
        <item h="1" sd="0" x="3"/>
        <item h="1" sd="0" x="5"/>
        <item t="default"/>
      </items>
    </pivotField>
    <pivotField name="Fund" axis="axisRow" compact="0" outline="0" multipleItemSelectionAllowed="1" showAll="0" sortType="ascending">
      <items count="51">
        <item x="0"/>
        <item x="1"/>
        <item x="2"/>
        <item x="3"/>
        <item x="4"/>
        <item x="5"/>
        <item x="6"/>
        <item x="7"/>
        <item x="8"/>
        <item x="9"/>
        <item x="10"/>
        <item x="11"/>
        <item x="12"/>
        <item x="13"/>
        <item x="14"/>
        <item x="15"/>
        <item x="17"/>
        <item x="22"/>
        <item x="23"/>
        <item x="24"/>
        <item x="25"/>
        <item x="16"/>
        <item x="18"/>
        <item x="29"/>
        <item x="30"/>
        <item x="31"/>
        <item x="32"/>
        <item x="33"/>
        <item x="34"/>
        <item x="45"/>
        <item x="35"/>
        <item x="26"/>
        <item x="19"/>
        <item x="27"/>
        <item x="28"/>
        <item x="36"/>
        <item x="37"/>
        <item x="39"/>
        <item x="40"/>
        <item x="41"/>
        <item x="46"/>
        <item x="47"/>
        <item x="42"/>
        <item x="48"/>
        <item x="43"/>
        <item x="38"/>
        <item x="44"/>
        <item x="49"/>
        <item x="20"/>
        <item x="21"/>
        <item t="default"/>
      </items>
    </pivotField>
    <pivotField name="Orig Base" dataField="1" compact="0" numFmtId="165" outline="0" multipleItemSelectionAllowed="1" showAll="0"/>
    <pivotField name="Adj Bud" compact="0" numFmtId="165" outline="0" multipleItemSelectionAllowed="1" showAll="0"/>
    <pivotField name="Final Bud" dataField="1" compact="0" numFmtId="165" outline="0" multipleItemSelectionAllowed="1" showAll="0"/>
    <pivotField name="Actual" dataField="1" compact="0" numFmtId="165" outline="0" multipleItemSelectionAllowed="1" showAll="0"/>
    <pivotField name="Encumb" dataField="1" compact="0" numFmtId="165" outline="0" multipleItemSelectionAllowed="1" showAll="0"/>
    <pivotField name="YTD Total" dataField="1" compact="0" numFmtId="165" outline="0" multipleItemSelectionAllowed="1" showAll="0"/>
    <pivotField name="YTD Bal" dataField="1" compact="0" numFmtId="165" outline="0" multipleItemSelectionAllowed="1" showAll="0"/>
    <pivotField name="YTD %" compact="0" numFmtId="166" outline="0" multipleItemSelectionAllowed="1" showAll="0"/>
    <pivotField name="Projection" compact="0" numFmtId="165" outline="0" multipleItemSelectionAllowed="1" showAll="0"/>
    <pivotField name="Projection Adj" compact="0" numFmtId="165" outline="0" multipleItemSelectionAllowed="1" showAll="0"/>
    <pivotField name="Final Proj" dataField="1" compact="0" numFmtId="165" outline="0" multipleItemSelectionAllowed="1" showAll="0"/>
    <pivotField name="Proj Bal" dataField="1" compact="0" numFmtId="165" outline="0" multipleItemSelectionAllowed="1" showAll="0"/>
    <pivotField name="Proj % " compact="0" numFmtId="166" outline="0" multipleItemSelectionAllowed="1" showAll="0"/>
  </pivotFields>
  <rowFields count="3">
    <field x="0"/>
    <field x="1"/>
    <field x="2"/>
  </rowFields>
  <rowItems count="4">
    <i>
      <x/>
      <x v="12"/>
    </i>
    <i t="default">
      <x/>
    </i>
    <i>
      <x v="1"/>
      <x v="12"/>
    </i>
    <i t="default">
      <x v="1"/>
    </i>
  </rowItems>
  <colFields count="1">
    <field x="-2"/>
  </colFields>
  <colItems count="8">
    <i>
      <x/>
    </i>
    <i i="1">
      <x v="1"/>
    </i>
    <i i="2">
      <x v="2"/>
    </i>
    <i i="3">
      <x v="3"/>
    </i>
    <i i="4">
      <x v="4"/>
    </i>
    <i i="5">
      <x v="5"/>
    </i>
    <i i="6">
      <x v="6"/>
    </i>
    <i i="7">
      <x v="7"/>
    </i>
  </colItems>
  <dataFields count="8">
    <dataField name="Original / Base" fld="3" baseField="0"/>
    <dataField name="Final Budget" fld="5" baseField="0"/>
    <dataField name="Actuals" fld="6" baseField="0"/>
    <dataField name="Encumbrances" fld="7" baseField="0"/>
    <dataField name="YTDTotal" fld="8" baseField="0"/>
    <dataField name="YTD Balance" fld="9" baseField="0"/>
    <dataField name="Final Projection" fld="13" baseField="0"/>
    <dataField name="Projected Balance" fld="14"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nd_Group1" xr10:uid="{4B893EF6-6421-40A8-809B-756DE66D357E}" sourceName="Fund Group">
  <pivotTables>
    <pivotTable tabId="2" name="Current Year Projections"/>
  </pivotTables>
  <data>
    <tabular pivotCacheId="1192400702">
      <items count="16">
        <i x="0"/>
        <i x="15"/>
        <i x="10"/>
        <i x="12"/>
        <i x="6"/>
        <i x="2"/>
        <i x="11"/>
        <i x="1"/>
        <i x="9"/>
        <i x="8"/>
        <i x="7"/>
        <i x="14"/>
        <i x="4" s="1"/>
        <i x="13"/>
        <i x="3"/>
        <i x="5"/>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nd1" xr10:uid="{8C052530-3494-4166-8164-7BC4A3F2B361}" sourceName="Fund">
  <pivotTables>
    <pivotTable tabId="2" name="Current Year Projections"/>
  </pivotTables>
  <data>
    <tabular pivotCacheId="1192400702">
      <items count="50">
        <i x="22" s="1"/>
        <i x="0" s="1" nd="1"/>
        <i x="1" s="1" nd="1"/>
        <i x="2" s="1" nd="1"/>
        <i x="3" s="1" nd="1"/>
        <i x="4" s="1" nd="1"/>
        <i x="5" s="1" nd="1"/>
        <i x="6" s="1" nd="1"/>
        <i x="7" s="1" nd="1"/>
        <i x="8" s="1" nd="1"/>
        <i x="9" s="1" nd="1"/>
        <i x="10" s="1" nd="1"/>
        <i x="11" s="1" nd="1"/>
        <i x="12" s="1" nd="1"/>
        <i x="13" s="1" nd="1"/>
        <i x="14" s="1" nd="1"/>
        <i x="15" s="1" nd="1"/>
        <i x="17" s="1" nd="1"/>
        <i x="23" s="1" nd="1"/>
        <i x="24" s="1" nd="1"/>
        <i x="25" s="1" nd="1"/>
        <i x="16" s="1" nd="1"/>
        <i x="18" s="1" nd="1"/>
        <i x="29" s="1" nd="1"/>
        <i x="30" s="1" nd="1"/>
        <i x="31" s="1" nd="1"/>
        <i x="32" s="1" nd="1"/>
        <i x="33" s="1" nd="1"/>
        <i x="34" s="1" nd="1"/>
        <i x="45" s="1" nd="1"/>
        <i x="35" s="1" nd="1"/>
        <i x="26" s="1" nd="1"/>
        <i x="19" s="1" nd="1"/>
        <i x="27" s="1" nd="1"/>
        <i x="28" s="1" nd="1"/>
        <i x="36" s="1" nd="1"/>
        <i x="37" s="1" nd="1"/>
        <i x="39" s="1" nd="1"/>
        <i x="40" s="1" nd="1"/>
        <i x="41" s="1" nd="1"/>
        <i x="46" s="1" nd="1"/>
        <i x="47" s="1" nd="1"/>
        <i x="42" s="1" nd="1"/>
        <i x="48" s="1" nd="1"/>
        <i x="43" s="1" nd="1"/>
        <i x="38" s="1" nd="1"/>
        <i x="44" s="1" nd="1"/>
        <i x="49" s="1" nd="1"/>
        <i x="20" s="1" nd="1"/>
        <i x="2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und Group" xr10:uid="{A2D49D9B-ECDB-43BA-986E-79DB28426FF1}" cache="Slicer_Fund_Group1" caption="Fund Group" columnCount="2" rowHeight="241300"/>
  <slicer name="Fund" xr10:uid="{ADC27E44-F835-4FE1-AEE3-C3D7E0D18A68}" cache="Slicer_Fund1" caption="Fund" startItem="9"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A43168-5C1F-4419-8606-8BD4B1E48B67}" name="Table1" displayName="Table1" ref="A3:P97" totalsRowShown="0" headerRowDxfId="0" dataDxfId="1" headerRowBorderDxfId="18" tableBorderDxfId="19">
  <autoFilter ref="A3:P97" xr:uid="{DFA43168-5C1F-4419-8606-8BD4B1E48B67}"/>
  <tableColumns count="16">
    <tableColumn id="1" xr3:uid="{A6D71836-A84B-4530-BA4F-6AA9937F43FB}" name="Account Type" dataDxfId="17"/>
    <tableColumn id="2" xr3:uid="{74D71CFE-EC02-402D-ADC2-DB131FB157AC}" name="Fund Group" dataDxfId="16"/>
    <tableColumn id="3" xr3:uid="{1CE182A9-6104-42B6-81CB-C320732DAA6C}" name="Fund" dataDxfId="15"/>
    <tableColumn id="4" xr3:uid="{01BCF92C-355A-4E12-AA0B-DD6A42D529D4}" name="Orig Base" dataDxfId="14"/>
    <tableColumn id="5" xr3:uid="{0CF4267F-BBAE-4129-BA52-EC444A100D81}" name="Adj Bud" dataDxfId="13"/>
    <tableColumn id="6" xr3:uid="{1A2B06EC-1989-4586-9F28-FAD43C3DEA68}" name="Final Bud" dataDxfId="12"/>
    <tableColumn id="7" xr3:uid="{499D8CF6-6236-4B6B-BCED-9229C542C7F8}" name="Actual" dataDxfId="11"/>
    <tableColumn id="8" xr3:uid="{CEC4741E-3356-4248-82F0-3E53B32C49F0}" name="Encumb" dataDxfId="10"/>
    <tableColumn id="9" xr3:uid="{03978207-CBF4-4DF4-882B-A9EDCF6A6B41}" name="YTD Total" dataDxfId="9"/>
    <tableColumn id="10" xr3:uid="{3225BBE3-89DB-48CC-8B45-75A369981AED}" name="YTD Bal" dataDxfId="8"/>
    <tableColumn id="11" xr3:uid="{6A386A38-A14E-461D-A3A7-B8C0B01D72E5}" name="YTD %" dataDxfId="7"/>
    <tableColumn id="12" xr3:uid="{0E79C021-F9AB-4CA1-A210-2BDFFC1F4A8F}" name="Projection" dataDxfId="6"/>
    <tableColumn id="13" xr3:uid="{52B322B7-684B-4135-A742-AB2EEE9B2720}" name="Projection Adj" dataDxfId="5"/>
    <tableColumn id="14" xr3:uid="{56D88C82-ABFD-4605-B017-D87C6CC4774C}" name="Final Proj" dataDxfId="4"/>
    <tableColumn id="15" xr3:uid="{69AB83D1-59D4-4BAE-A0BF-0120EC5A0151}" name="Proj Bal" dataDxfId="3"/>
    <tableColumn id="16" xr3:uid="{E8E9CDDC-D756-4DAB-B31A-0DB1ED3C07A0}" name="Proj % " dataDxfId="2"/>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defaultColWidth="14.42578125" defaultRowHeight="15" customHeight="1" x14ac:dyDescent="0.25"/>
  <cols>
    <col min="1" max="26" width="9.140625" customWidth="1"/>
  </cols>
  <sheetData>
    <row r="1" spans="1:26" ht="12.75" customHeight="1" x14ac:dyDescent="0.25">
      <c r="A1" s="1" t="s">
        <v>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5">
      <c r="A2" s="2"/>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5">
      <c r="A3" s="2"/>
      <c r="B3" s="3" t="s">
        <v>1</v>
      </c>
      <c r="C3" s="2"/>
      <c r="D3" s="2"/>
      <c r="E3" s="2"/>
      <c r="F3" s="2"/>
      <c r="G3" s="2"/>
      <c r="H3" s="2"/>
      <c r="I3" s="2"/>
      <c r="J3" s="2"/>
      <c r="K3" s="2"/>
      <c r="L3" s="2"/>
      <c r="M3" s="2"/>
      <c r="N3" s="2"/>
      <c r="O3" s="2"/>
      <c r="P3" s="2"/>
      <c r="Q3" s="2"/>
      <c r="R3" s="2"/>
      <c r="S3" s="2"/>
      <c r="T3" s="2"/>
      <c r="U3" s="2"/>
      <c r="V3" s="2"/>
      <c r="W3" s="2"/>
      <c r="X3" s="2"/>
      <c r="Y3" s="2"/>
      <c r="Z3" s="2"/>
    </row>
    <row r="4" spans="1:26" ht="12.75" customHeight="1" x14ac:dyDescent="0.25">
      <c r="A4" s="4" t="s">
        <v>2</v>
      </c>
      <c r="B4" s="60" t="s">
        <v>3</v>
      </c>
      <c r="C4" s="61"/>
      <c r="D4" s="61"/>
      <c r="E4" s="61"/>
      <c r="F4" s="61"/>
      <c r="G4" s="61"/>
      <c r="H4" s="61"/>
      <c r="I4" s="61"/>
      <c r="J4" s="61"/>
      <c r="K4" s="61"/>
      <c r="L4" s="61"/>
      <c r="M4" s="62"/>
      <c r="N4" s="2"/>
      <c r="O4" s="2"/>
      <c r="P4" s="2"/>
      <c r="Q4" s="2"/>
      <c r="R4" s="2"/>
      <c r="S4" s="2"/>
      <c r="T4" s="2"/>
      <c r="U4" s="2"/>
      <c r="V4" s="2"/>
      <c r="W4" s="2"/>
      <c r="X4" s="2"/>
      <c r="Y4" s="2"/>
      <c r="Z4" s="2"/>
    </row>
    <row r="5" spans="1:26" ht="12.75" customHeight="1" x14ac:dyDescent="0.25">
      <c r="A5" s="2"/>
      <c r="B5" s="63"/>
      <c r="C5" s="64"/>
      <c r="D5" s="64"/>
      <c r="E5" s="64"/>
      <c r="F5" s="64"/>
      <c r="G5" s="64"/>
      <c r="H5" s="64"/>
      <c r="I5" s="64"/>
      <c r="J5" s="64"/>
      <c r="K5" s="64"/>
      <c r="L5" s="64"/>
      <c r="M5" s="65"/>
      <c r="N5" s="2"/>
      <c r="O5" s="2"/>
      <c r="P5" s="2"/>
      <c r="Q5" s="2"/>
      <c r="R5" s="2"/>
      <c r="S5" s="2"/>
      <c r="T5" s="2"/>
      <c r="U5" s="2"/>
      <c r="V5" s="2"/>
      <c r="W5" s="2"/>
      <c r="X5" s="2"/>
      <c r="Y5" s="2"/>
      <c r="Z5" s="2"/>
    </row>
    <row r="6" spans="1:26" ht="12.75" customHeight="1" x14ac:dyDescent="0.25">
      <c r="A6" s="2"/>
      <c r="B6" s="2"/>
      <c r="C6" s="2"/>
      <c r="D6" s="2"/>
      <c r="E6" s="2"/>
      <c r="F6" s="2"/>
      <c r="G6" s="2"/>
      <c r="H6" s="2"/>
      <c r="I6" s="2"/>
      <c r="J6" s="2"/>
      <c r="K6" s="2"/>
      <c r="L6" s="2"/>
      <c r="M6" s="2"/>
      <c r="N6" s="2"/>
      <c r="O6" s="2"/>
      <c r="P6" s="2"/>
      <c r="Q6" s="2"/>
      <c r="R6" s="2"/>
      <c r="S6" s="2"/>
      <c r="T6" s="2"/>
      <c r="U6" s="2"/>
      <c r="V6" s="2"/>
      <c r="W6" s="2"/>
      <c r="X6" s="2"/>
      <c r="Y6" s="2"/>
      <c r="Z6" s="2"/>
    </row>
    <row r="7" spans="1:26" ht="12.75" customHeight="1" x14ac:dyDescent="0.25">
      <c r="A7" s="4" t="s">
        <v>4</v>
      </c>
      <c r="B7" s="60" t="s">
        <v>5</v>
      </c>
      <c r="C7" s="61"/>
      <c r="D7" s="61"/>
      <c r="E7" s="61"/>
      <c r="F7" s="61"/>
      <c r="G7" s="61"/>
      <c r="H7" s="61"/>
      <c r="I7" s="61"/>
      <c r="J7" s="61"/>
      <c r="K7" s="61"/>
      <c r="L7" s="61"/>
      <c r="M7" s="62"/>
      <c r="N7" s="2"/>
      <c r="O7" s="2"/>
      <c r="P7" s="2"/>
      <c r="Q7" s="2"/>
      <c r="R7" s="2"/>
      <c r="S7" s="2"/>
      <c r="T7" s="2"/>
      <c r="U7" s="2"/>
      <c r="V7" s="2"/>
      <c r="W7" s="2"/>
      <c r="X7" s="2"/>
      <c r="Y7" s="2"/>
      <c r="Z7" s="2"/>
    </row>
    <row r="8" spans="1:26" ht="12.75" customHeight="1" x14ac:dyDescent="0.25">
      <c r="A8" s="2"/>
      <c r="B8" s="63"/>
      <c r="C8" s="64"/>
      <c r="D8" s="64"/>
      <c r="E8" s="64"/>
      <c r="F8" s="64"/>
      <c r="G8" s="64"/>
      <c r="H8" s="64"/>
      <c r="I8" s="64"/>
      <c r="J8" s="64"/>
      <c r="K8" s="64"/>
      <c r="L8" s="64"/>
      <c r="M8" s="65"/>
      <c r="N8" s="2"/>
      <c r="O8" s="2"/>
      <c r="P8" s="2"/>
      <c r="Q8" s="2"/>
      <c r="R8" s="2"/>
      <c r="S8" s="2"/>
      <c r="T8" s="2"/>
      <c r="U8" s="2"/>
      <c r="V8" s="2"/>
      <c r="W8" s="2"/>
      <c r="X8" s="2"/>
      <c r="Y8" s="2"/>
      <c r="Z8" s="2"/>
    </row>
    <row r="9" spans="1:26" ht="12.75" customHeight="1" x14ac:dyDescent="0.25">
      <c r="A9" s="2"/>
      <c r="B9" s="2"/>
      <c r="C9" s="2"/>
      <c r="D9" s="2"/>
      <c r="E9" s="2"/>
      <c r="F9" s="2"/>
      <c r="G9" s="2"/>
      <c r="H9" s="2"/>
      <c r="I9" s="2"/>
      <c r="J9" s="2"/>
      <c r="K9" s="2"/>
      <c r="L9" s="2"/>
      <c r="M9" s="2"/>
      <c r="N9" s="2"/>
      <c r="O9" s="2"/>
      <c r="P9" s="2"/>
      <c r="Q9" s="2"/>
      <c r="R9" s="2"/>
      <c r="S9" s="2"/>
      <c r="T9" s="2"/>
      <c r="U9" s="2"/>
      <c r="V9" s="2"/>
      <c r="W9" s="2"/>
      <c r="X9" s="2"/>
      <c r="Y9" s="2"/>
      <c r="Z9" s="2"/>
    </row>
    <row r="10" spans="1:26" ht="12.75" customHeight="1" x14ac:dyDescent="0.25">
      <c r="A10" s="2"/>
      <c r="B10" s="3" t="s">
        <v>6</v>
      </c>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5">
      <c r="A11" s="4" t="s">
        <v>7</v>
      </c>
      <c r="B11" s="60" t="s">
        <v>8</v>
      </c>
      <c r="C11" s="61"/>
      <c r="D11" s="61"/>
      <c r="E11" s="61"/>
      <c r="F11" s="61"/>
      <c r="G11" s="61"/>
      <c r="H11" s="61"/>
      <c r="I11" s="61"/>
      <c r="J11" s="61"/>
      <c r="K11" s="61"/>
      <c r="L11" s="61"/>
      <c r="M11" s="62"/>
      <c r="N11" s="2"/>
      <c r="O11" s="2"/>
      <c r="P11" s="2"/>
      <c r="Q11" s="2"/>
      <c r="R11" s="2"/>
      <c r="S11" s="2"/>
      <c r="T11" s="2"/>
      <c r="U11" s="2"/>
      <c r="V11" s="2"/>
      <c r="W11" s="2"/>
      <c r="X11" s="2"/>
      <c r="Y11" s="2"/>
      <c r="Z11" s="2"/>
    </row>
    <row r="12" spans="1:26" ht="12.75" customHeight="1" x14ac:dyDescent="0.25">
      <c r="A12" s="2"/>
      <c r="B12" s="63"/>
      <c r="C12" s="64"/>
      <c r="D12" s="64"/>
      <c r="E12" s="64"/>
      <c r="F12" s="64"/>
      <c r="G12" s="64"/>
      <c r="H12" s="64"/>
      <c r="I12" s="64"/>
      <c r="J12" s="64"/>
      <c r="K12" s="64"/>
      <c r="L12" s="64"/>
      <c r="M12" s="65"/>
      <c r="N12" s="2"/>
      <c r="O12" s="2"/>
      <c r="P12" s="2"/>
      <c r="Q12" s="2"/>
      <c r="R12" s="2"/>
      <c r="S12" s="2"/>
      <c r="T12" s="2"/>
      <c r="U12" s="2"/>
      <c r="V12" s="2"/>
      <c r="W12" s="2"/>
      <c r="X12" s="2"/>
      <c r="Y12" s="2"/>
      <c r="Z12" s="2"/>
    </row>
    <row r="13" spans="1:26" ht="12.75" customHeight="1" x14ac:dyDescent="0.25">
      <c r="A13" s="2"/>
      <c r="B13" s="3"/>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5">
      <c r="A14" s="4" t="s">
        <v>9</v>
      </c>
      <c r="B14" s="60" t="s">
        <v>10</v>
      </c>
      <c r="C14" s="61"/>
      <c r="D14" s="61"/>
      <c r="E14" s="61"/>
      <c r="F14" s="61"/>
      <c r="G14" s="61"/>
      <c r="H14" s="61"/>
      <c r="I14" s="61"/>
      <c r="J14" s="61"/>
      <c r="K14" s="61"/>
      <c r="L14" s="61"/>
      <c r="M14" s="62"/>
      <c r="N14" s="2"/>
      <c r="O14" s="2"/>
      <c r="P14" s="2"/>
      <c r="Q14" s="2"/>
      <c r="R14" s="2"/>
      <c r="S14" s="2"/>
      <c r="T14" s="2"/>
      <c r="U14" s="2"/>
      <c r="V14" s="2"/>
      <c r="W14" s="2"/>
      <c r="X14" s="2"/>
      <c r="Y14" s="2"/>
      <c r="Z14" s="2"/>
    </row>
    <row r="15" spans="1:26" ht="12.75" customHeight="1" x14ac:dyDescent="0.25">
      <c r="A15" s="4"/>
      <c r="B15" s="66"/>
      <c r="C15" s="67"/>
      <c r="D15" s="67"/>
      <c r="E15" s="67"/>
      <c r="F15" s="67"/>
      <c r="G15" s="67"/>
      <c r="H15" s="67"/>
      <c r="I15" s="67"/>
      <c r="J15" s="67"/>
      <c r="K15" s="67"/>
      <c r="L15" s="67"/>
      <c r="M15" s="68"/>
      <c r="N15" s="2"/>
      <c r="O15" s="2"/>
      <c r="P15" s="2"/>
      <c r="Q15" s="2"/>
      <c r="R15" s="2"/>
      <c r="S15" s="2"/>
      <c r="T15" s="2"/>
      <c r="U15" s="2"/>
      <c r="V15" s="2"/>
      <c r="W15" s="2"/>
      <c r="X15" s="2"/>
      <c r="Y15" s="2"/>
      <c r="Z15" s="2"/>
    </row>
    <row r="16" spans="1:26" ht="12.75" customHeight="1" x14ac:dyDescent="0.25">
      <c r="A16" s="2"/>
      <c r="B16" s="63"/>
      <c r="C16" s="64"/>
      <c r="D16" s="64"/>
      <c r="E16" s="64"/>
      <c r="F16" s="64"/>
      <c r="G16" s="64"/>
      <c r="H16" s="64"/>
      <c r="I16" s="64"/>
      <c r="J16" s="64"/>
      <c r="K16" s="64"/>
      <c r="L16" s="64"/>
      <c r="M16" s="65"/>
      <c r="N16" s="2"/>
      <c r="O16" s="2"/>
      <c r="P16" s="2"/>
      <c r="Q16" s="2"/>
      <c r="R16" s="2"/>
      <c r="S16" s="2"/>
      <c r="T16" s="2"/>
      <c r="U16" s="2"/>
      <c r="V16" s="2"/>
      <c r="W16" s="2"/>
      <c r="X16" s="2"/>
      <c r="Y16" s="2"/>
      <c r="Z16" s="2"/>
    </row>
    <row r="17" spans="1:26" ht="12.75" customHeight="1" x14ac:dyDescent="0.25">
      <c r="A17" s="2"/>
      <c r="B17" s="5"/>
      <c r="C17" s="5"/>
      <c r="D17" s="5"/>
      <c r="E17" s="5"/>
      <c r="F17" s="5"/>
      <c r="G17" s="5"/>
      <c r="H17" s="5"/>
      <c r="I17" s="5"/>
      <c r="J17" s="5"/>
      <c r="K17" s="5"/>
      <c r="L17" s="5"/>
      <c r="M17" s="5"/>
      <c r="N17" s="2"/>
      <c r="O17" s="2"/>
      <c r="P17" s="2"/>
      <c r="Q17" s="2"/>
      <c r="R17" s="2"/>
      <c r="S17" s="2"/>
      <c r="T17" s="2"/>
      <c r="U17" s="2"/>
      <c r="V17" s="2"/>
      <c r="W17" s="2"/>
      <c r="X17" s="2"/>
      <c r="Y17" s="2"/>
      <c r="Z17" s="2"/>
    </row>
    <row r="18" spans="1:26" ht="12.75" customHeight="1" x14ac:dyDescent="0.25">
      <c r="A18" s="2"/>
      <c r="B18" s="60" t="s">
        <v>11</v>
      </c>
      <c r="C18" s="61"/>
      <c r="D18" s="61"/>
      <c r="E18" s="61"/>
      <c r="F18" s="61"/>
      <c r="G18" s="61"/>
      <c r="H18" s="61"/>
      <c r="I18" s="61"/>
      <c r="J18" s="61"/>
      <c r="K18" s="61"/>
      <c r="L18" s="61"/>
      <c r="M18" s="62"/>
      <c r="N18" s="2"/>
      <c r="O18" s="2"/>
      <c r="P18" s="2"/>
      <c r="Q18" s="2"/>
      <c r="R18" s="2"/>
      <c r="S18" s="2"/>
      <c r="T18" s="2"/>
      <c r="U18" s="2"/>
      <c r="V18" s="2"/>
      <c r="W18" s="2"/>
      <c r="X18" s="2"/>
      <c r="Y18" s="2"/>
      <c r="Z18" s="2"/>
    </row>
    <row r="19" spans="1:26" ht="12.75" customHeight="1" x14ac:dyDescent="0.25">
      <c r="A19" s="2"/>
      <c r="B19" s="66"/>
      <c r="C19" s="67"/>
      <c r="D19" s="67"/>
      <c r="E19" s="67"/>
      <c r="F19" s="67"/>
      <c r="G19" s="67"/>
      <c r="H19" s="67"/>
      <c r="I19" s="67"/>
      <c r="J19" s="67"/>
      <c r="K19" s="67"/>
      <c r="L19" s="67"/>
      <c r="M19" s="68"/>
      <c r="N19" s="2"/>
      <c r="O19" s="2"/>
      <c r="P19" s="2"/>
      <c r="Q19" s="2"/>
      <c r="R19" s="2"/>
      <c r="S19" s="2"/>
      <c r="T19" s="2"/>
      <c r="U19" s="2"/>
      <c r="V19" s="2"/>
      <c r="W19" s="2"/>
      <c r="X19" s="2"/>
      <c r="Y19" s="2"/>
      <c r="Z19" s="2"/>
    </row>
    <row r="20" spans="1:26" ht="12.75" customHeight="1" x14ac:dyDescent="0.25">
      <c r="A20" s="2"/>
      <c r="B20" s="63"/>
      <c r="C20" s="64"/>
      <c r="D20" s="64"/>
      <c r="E20" s="64"/>
      <c r="F20" s="64"/>
      <c r="G20" s="64"/>
      <c r="H20" s="64"/>
      <c r="I20" s="64"/>
      <c r="J20" s="64"/>
      <c r="K20" s="64"/>
      <c r="L20" s="64"/>
      <c r="M20" s="65"/>
      <c r="N20" s="2"/>
      <c r="O20" s="2"/>
      <c r="P20" s="2"/>
      <c r="Q20" s="2"/>
      <c r="R20" s="2"/>
      <c r="S20" s="2"/>
      <c r="T20" s="2"/>
      <c r="U20" s="2"/>
      <c r="V20" s="2"/>
      <c r="W20" s="2"/>
      <c r="X20" s="2"/>
      <c r="Y20" s="2"/>
      <c r="Z20" s="2"/>
    </row>
    <row r="21" spans="1:26" ht="12.75" customHeight="1" x14ac:dyDescent="0.25">
      <c r="A21" s="2"/>
      <c r="B21" s="6" t="s">
        <v>12</v>
      </c>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5">
      <c r="A22" s="2"/>
      <c r="B22" s="2" t="s">
        <v>13</v>
      </c>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5">
      <c r="A23" s="2"/>
      <c r="B23" s="2" t="s">
        <v>14</v>
      </c>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5">
      <c r="A24" s="2"/>
      <c r="B24" s="2" t="s">
        <v>15</v>
      </c>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5">
      <c r="A25" s="2"/>
      <c r="B25" s="2" t="s">
        <v>16</v>
      </c>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5">
      <c r="A26" s="2"/>
      <c r="B26" s="2" t="s">
        <v>17</v>
      </c>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B4:M5"/>
    <mergeCell ref="B7:M8"/>
    <mergeCell ref="B11:M12"/>
    <mergeCell ref="B14:M16"/>
    <mergeCell ref="B18:M20"/>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showGridLines="0" workbookViewId="0">
      <selection activeCell="P12" sqref="P12"/>
    </sheetView>
  </sheetViews>
  <sheetFormatPr defaultColWidth="14.42578125" defaultRowHeight="15" customHeight="1" x14ac:dyDescent="0.25"/>
  <cols>
    <col min="1" max="1" width="41.42578125" customWidth="1"/>
    <col min="2" max="2" width="14" customWidth="1"/>
    <col min="3" max="4" width="12.5703125" customWidth="1"/>
    <col min="5" max="5" width="13.85546875" customWidth="1"/>
    <col min="6" max="7" width="12.5703125" customWidth="1"/>
    <col min="8" max="8" width="15" customWidth="1"/>
    <col min="9" max="9" width="17" customWidth="1"/>
    <col min="10" max="10" width="4" customWidth="1"/>
    <col min="11" max="11" width="17" bestFit="1" customWidth="1"/>
    <col min="12" max="26" width="8.7109375" customWidth="1"/>
  </cols>
  <sheetData>
    <row r="1" spans="1:18" ht="18.75" x14ac:dyDescent="0.3">
      <c r="A1" s="7" t="s">
        <v>18</v>
      </c>
      <c r="B1" s="8"/>
    </row>
    <row r="2" spans="1:18" x14ac:dyDescent="0.25">
      <c r="A2" s="9" t="s">
        <v>20</v>
      </c>
      <c r="B2" s="10" t="s">
        <v>21</v>
      </c>
    </row>
    <row r="3" spans="1:18" x14ac:dyDescent="0.25">
      <c r="A3" s="9" t="s">
        <v>22</v>
      </c>
      <c r="B3" s="11">
        <v>45291</v>
      </c>
    </row>
    <row r="4" spans="1:18" x14ac:dyDescent="0.25">
      <c r="H4" s="10"/>
      <c r="M4" s="69" t="s">
        <v>19</v>
      </c>
      <c r="N4" s="70"/>
      <c r="O4" s="70"/>
      <c r="P4" s="70"/>
      <c r="Q4" s="70"/>
      <c r="R4" s="71"/>
    </row>
    <row r="5" spans="1:18" x14ac:dyDescent="0.25">
      <c r="A5" s="12" t="s">
        <v>23</v>
      </c>
      <c r="B5" s="13" t="str">
        <f>Glossary!A4</f>
        <v>{a}</v>
      </c>
      <c r="C5" s="13" t="str">
        <f>Glossary!A7</f>
        <v>{b}</v>
      </c>
      <c r="D5" s="13"/>
      <c r="E5" s="13"/>
      <c r="F5" s="13"/>
      <c r="G5" s="13"/>
      <c r="H5" s="14" t="str">
        <f>Glossary!A11</f>
        <v>{c}</v>
      </c>
      <c r="I5" s="13" t="str">
        <f>Glossary!A14</f>
        <v>{d}</v>
      </c>
    </row>
    <row r="6" spans="1:18" x14ac:dyDescent="0.25">
      <c r="A6" s="8"/>
      <c r="B6" s="15" t="s">
        <v>24</v>
      </c>
      <c r="C6" s="15" t="s">
        <v>25</v>
      </c>
      <c r="D6" s="15" t="s">
        <v>26</v>
      </c>
      <c r="E6" s="15" t="s">
        <v>27</v>
      </c>
      <c r="F6" s="15" t="s">
        <v>28</v>
      </c>
      <c r="G6" s="15" t="s">
        <v>29</v>
      </c>
      <c r="H6" s="15" t="s">
        <v>30</v>
      </c>
      <c r="I6" s="16" t="s">
        <v>31</v>
      </c>
    </row>
    <row r="7" spans="1:18" x14ac:dyDescent="0.25">
      <c r="A7" s="17" t="s">
        <v>32</v>
      </c>
      <c r="B7" s="18">
        <f>GETPIVOTDATA("Original / Base",$A$10,"Account Type","Revenues")-GETPIVOTDATA("Original / Base",$A$10,"Account Type","Expenses")</f>
        <v>0</v>
      </c>
      <c r="C7" s="18">
        <f>GETPIVOTDATA("Final Budget",$A$10,"Account Type","Revenues")-GETPIVOTDATA("Final Budget",$A$10,"Account Type","Expenses")</f>
        <v>-19350485</v>
      </c>
      <c r="D7" s="18">
        <f>GETPIVOTDATA("Actuals",$A$10,"Account Type","Revenues")-GETPIVOTDATA("Actuals",$A$10,"Account Type","Expenses")</f>
        <v>22879122.229999989</v>
      </c>
      <c r="E7" s="18">
        <f>GETPIVOTDATA("Encumbrances",$A$10,"Account Type","Revenues")-GETPIVOTDATA("Encumbrances",$A$10,"Account Type","Expenses")</f>
        <v>-2518020.8699969999</v>
      </c>
      <c r="F7" s="18">
        <f>GETPIVOTDATA("YTDTotal",$A$10,"Account Type","Revenues")-GETPIVOTDATA("YTDTotal",$A$10,"Account Type","Expenses")</f>
        <v>20361101.360002995</v>
      </c>
      <c r="G7" s="18">
        <f>GETPIVOTDATA("YTD Balance",$A$10,"Account Type","Revenues")+GETPIVOTDATA("YTD Balance",$A$10,"Account Type","Expenses")</f>
        <v>39711586.360002995</v>
      </c>
      <c r="H7" s="19">
        <f>GETPIVOTDATA("Final Projection",$A$10,"Account Type","Revenues")-GETPIVOTDATA("Final Projection",$A$10,"Account Type","Expenses")</f>
        <v>-613038.45662200451</v>
      </c>
      <c r="I7" s="18">
        <f>GETPIVOTDATA("Projected Balance",$A$10,"Account Type","Revenues")+GETPIVOTDATA("Projected Balance",$A$10,"Account Type","Expenses")</f>
        <v>16219425.673380999</v>
      </c>
    </row>
    <row r="8" spans="1:18" x14ac:dyDescent="0.25">
      <c r="A8" s="20"/>
      <c r="B8" s="21"/>
      <c r="C8" s="21"/>
      <c r="D8" s="21"/>
      <c r="E8" s="21"/>
      <c r="F8" s="21"/>
      <c r="G8" s="21"/>
      <c r="H8" s="21"/>
      <c r="I8" s="21"/>
    </row>
    <row r="9" spans="1:18" x14ac:dyDescent="0.25">
      <c r="A9" s="10" t="s">
        <v>33</v>
      </c>
      <c r="B9" s="8"/>
      <c r="C9" s="22" t="s">
        <v>34</v>
      </c>
      <c r="D9" s="8"/>
      <c r="E9" s="8"/>
      <c r="F9" s="8"/>
      <c r="G9" s="8"/>
      <c r="H9" s="10"/>
      <c r="I9" s="10"/>
    </row>
    <row r="10" spans="1:18" x14ac:dyDescent="0.25">
      <c r="A10" s="76"/>
      <c r="B10" s="77"/>
      <c r="C10" s="77"/>
      <c r="D10" s="78" t="s">
        <v>142</v>
      </c>
      <c r="E10" s="77"/>
      <c r="F10" s="77"/>
      <c r="G10" s="77"/>
      <c r="H10" s="77"/>
      <c r="I10" s="77"/>
      <c r="J10" s="77"/>
      <c r="K10" s="79"/>
    </row>
    <row r="11" spans="1:18" x14ac:dyDescent="0.25">
      <c r="A11" s="78" t="s">
        <v>122</v>
      </c>
      <c r="B11" s="78" t="s">
        <v>123</v>
      </c>
      <c r="C11" s="78" t="s">
        <v>124</v>
      </c>
      <c r="D11" s="76" t="s">
        <v>24</v>
      </c>
      <c r="E11" s="80" t="s">
        <v>25</v>
      </c>
      <c r="F11" s="80" t="s">
        <v>26</v>
      </c>
      <c r="G11" s="80" t="s">
        <v>27</v>
      </c>
      <c r="H11" s="80" t="s">
        <v>28</v>
      </c>
      <c r="I11" s="80" t="s">
        <v>29</v>
      </c>
      <c r="J11" s="80" t="s">
        <v>30</v>
      </c>
      <c r="K11" s="81" t="s">
        <v>31</v>
      </c>
    </row>
    <row r="12" spans="1:18" x14ac:dyDescent="0.25">
      <c r="A12" s="76" t="s">
        <v>141</v>
      </c>
      <c r="B12" s="76" t="s">
        <v>49</v>
      </c>
      <c r="C12" s="77"/>
      <c r="D12" s="82">
        <v>158666757</v>
      </c>
      <c r="E12" s="83">
        <v>182559292</v>
      </c>
      <c r="F12" s="83">
        <v>78375929.680000007</v>
      </c>
      <c r="G12" s="83">
        <v>2518020.8699969999</v>
      </c>
      <c r="H12" s="83">
        <v>80893950.549997002</v>
      </c>
      <c r="I12" s="83">
        <v>101665341.450003</v>
      </c>
      <c r="J12" s="83">
        <v>165764879.82328501</v>
      </c>
      <c r="K12" s="84">
        <v>14276391.306717999</v>
      </c>
    </row>
    <row r="13" spans="1:18" x14ac:dyDescent="0.25">
      <c r="A13" s="76" t="s">
        <v>143</v>
      </c>
      <c r="B13" s="77"/>
      <c r="C13" s="77"/>
      <c r="D13" s="82">
        <v>158666757</v>
      </c>
      <c r="E13" s="83">
        <v>182559292</v>
      </c>
      <c r="F13" s="83">
        <v>78375929.680000007</v>
      </c>
      <c r="G13" s="83">
        <v>2518020.8699969999</v>
      </c>
      <c r="H13" s="83">
        <v>80893950.549997002</v>
      </c>
      <c r="I13" s="83">
        <v>101665341.450003</v>
      </c>
      <c r="J13" s="83">
        <v>165764879.82328501</v>
      </c>
      <c r="K13" s="84">
        <v>14276391.306717999</v>
      </c>
    </row>
    <row r="14" spans="1:18" x14ac:dyDescent="0.25">
      <c r="A14" s="76" t="s">
        <v>138</v>
      </c>
      <c r="B14" s="76" t="s">
        <v>49</v>
      </c>
      <c r="C14" s="77"/>
      <c r="D14" s="82">
        <v>158666757</v>
      </c>
      <c r="E14" s="83">
        <v>163208807</v>
      </c>
      <c r="F14" s="83">
        <v>101255051.91</v>
      </c>
      <c r="G14" s="83">
        <v>0</v>
      </c>
      <c r="H14" s="83">
        <v>101255051.91</v>
      </c>
      <c r="I14" s="83">
        <v>-61953755.090000004</v>
      </c>
      <c r="J14" s="83">
        <v>165151841.36666301</v>
      </c>
      <c r="K14" s="84">
        <v>1943034.3666630001</v>
      </c>
    </row>
    <row r="15" spans="1:18" x14ac:dyDescent="0.25">
      <c r="A15" s="85" t="s">
        <v>144</v>
      </c>
      <c r="B15" s="86"/>
      <c r="C15" s="86"/>
      <c r="D15" s="87">
        <v>158666757</v>
      </c>
      <c r="E15" s="88">
        <v>163208807</v>
      </c>
      <c r="F15" s="88">
        <v>101255051.91</v>
      </c>
      <c r="G15" s="88">
        <v>0</v>
      </c>
      <c r="H15" s="88">
        <v>101255051.91</v>
      </c>
      <c r="I15" s="88">
        <v>-61953755.090000004</v>
      </c>
      <c r="J15" s="88">
        <v>165151841.36666301</v>
      </c>
      <c r="K15" s="89">
        <v>1943034.3666630001</v>
      </c>
    </row>
    <row r="16" spans="1:18" x14ac:dyDescent="0.25"/>
    <row r="17" x14ac:dyDescent="0.25"/>
    <row r="18" x14ac:dyDescent="0.25"/>
    <row r="19" x14ac:dyDescent="0.25"/>
    <row r="20"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M4:R4"/>
  </mergeCells>
  <pageMargins left="0.7" right="0.7" top="0.75" bottom="0.75" header="0" footer="0"/>
  <pageSetup orientation="portrait"/>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abSelected="1" workbookViewId="0">
      <selection sqref="A1:F1"/>
    </sheetView>
  </sheetViews>
  <sheetFormatPr defaultColWidth="14.42578125" defaultRowHeight="15" customHeight="1" x14ac:dyDescent="0.25"/>
  <cols>
    <col min="1" max="1" width="45.140625" customWidth="1"/>
    <col min="2" max="2" width="18" customWidth="1"/>
    <col min="3" max="3" width="2.140625" customWidth="1"/>
    <col min="4" max="4" width="18.140625" customWidth="1"/>
    <col min="5" max="5" width="2.28515625" customWidth="1"/>
    <col min="6" max="6" width="17.140625" customWidth="1"/>
    <col min="7" max="7" width="1.5703125" customWidth="1"/>
    <col min="8" max="10" width="15.85546875" customWidth="1"/>
    <col min="11" max="11" width="16.42578125" customWidth="1"/>
    <col min="12" max="14" width="15.85546875" customWidth="1"/>
    <col min="15" max="15" width="3" customWidth="1"/>
    <col min="16" max="16" width="14.140625" customWidth="1"/>
    <col min="17" max="17" width="13.85546875" customWidth="1"/>
    <col min="18" max="26" width="8.85546875" customWidth="1"/>
  </cols>
  <sheetData>
    <row r="1" spans="1:26" ht="21" customHeight="1" x14ac:dyDescent="0.25">
      <c r="A1" s="72" t="s">
        <v>35</v>
      </c>
      <c r="B1" s="64"/>
      <c r="C1" s="64"/>
      <c r="D1" s="64"/>
      <c r="E1" s="64"/>
      <c r="F1" s="64"/>
      <c r="G1" s="24"/>
      <c r="H1" s="73" t="s">
        <v>36</v>
      </c>
      <c r="I1" s="64"/>
      <c r="J1" s="64"/>
      <c r="K1" s="64"/>
      <c r="L1" s="64"/>
      <c r="M1" s="64"/>
      <c r="N1" s="64"/>
      <c r="O1" s="2"/>
      <c r="P1" s="2"/>
      <c r="Q1" s="2"/>
      <c r="R1" s="2"/>
      <c r="S1" s="2"/>
      <c r="T1" s="2"/>
      <c r="U1" s="2"/>
      <c r="V1" s="2"/>
      <c r="W1" s="2"/>
      <c r="X1" s="2"/>
      <c r="Y1" s="2"/>
      <c r="Z1" s="2"/>
    </row>
    <row r="2" spans="1:26" ht="12.75" customHeight="1" x14ac:dyDescent="0.25">
      <c r="A2" s="25" t="s">
        <v>20</v>
      </c>
      <c r="B2" s="25" t="s">
        <v>21</v>
      </c>
      <c r="C2" s="2"/>
      <c r="D2" s="2"/>
      <c r="E2" s="2"/>
      <c r="F2" s="2"/>
      <c r="G2" s="24"/>
      <c r="H2" s="2"/>
      <c r="I2" s="2"/>
      <c r="J2" s="2"/>
      <c r="K2" s="2"/>
      <c r="L2" s="2"/>
      <c r="M2" s="2"/>
      <c r="N2" s="2"/>
      <c r="O2" s="2"/>
      <c r="P2" s="26"/>
      <c r="Q2" s="26"/>
      <c r="R2" s="2"/>
      <c r="S2" s="2"/>
      <c r="T2" s="2"/>
      <c r="U2" s="2"/>
      <c r="V2" s="2"/>
      <c r="W2" s="2"/>
      <c r="X2" s="2"/>
      <c r="Y2" s="2"/>
      <c r="Z2" s="2"/>
    </row>
    <row r="3" spans="1:26" ht="12.75" customHeight="1" x14ac:dyDescent="0.25">
      <c r="A3" s="25" t="s">
        <v>22</v>
      </c>
      <c r="B3" s="27">
        <v>45291</v>
      </c>
      <c r="C3" s="2"/>
      <c r="D3" s="2"/>
      <c r="E3" s="2"/>
      <c r="F3" s="2"/>
      <c r="G3" s="24"/>
      <c r="H3" s="74" t="s">
        <v>37</v>
      </c>
      <c r="I3" s="67"/>
      <c r="J3" s="67"/>
      <c r="K3" s="67"/>
      <c r="L3" s="67"/>
      <c r="M3" s="67"/>
      <c r="N3" s="67"/>
      <c r="O3" s="2"/>
      <c r="P3" s="28"/>
      <c r="Q3" s="2"/>
      <c r="R3" s="2"/>
      <c r="S3" s="2"/>
      <c r="T3" s="2"/>
      <c r="U3" s="2"/>
      <c r="V3" s="2"/>
      <c r="W3" s="2"/>
      <c r="X3" s="2"/>
      <c r="Y3" s="2"/>
      <c r="Z3" s="2"/>
    </row>
    <row r="4" spans="1:26" ht="12.75" customHeight="1" x14ac:dyDescent="0.25">
      <c r="A4" s="29" t="s">
        <v>38</v>
      </c>
      <c r="B4" s="29" t="s">
        <v>39</v>
      </c>
      <c r="C4" s="30"/>
      <c r="D4" s="31" t="s">
        <v>40</v>
      </c>
      <c r="E4" s="30"/>
      <c r="F4" s="29" t="s">
        <v>41</v>
      </c>
      <c r="G4" s="24"/>
      <c r="H4" s="31" t="s">
        <v>42</v>
      </c>
      <c r="I4" s="32" t="s">
        <v>43</v>
      </c>
      <c r="J4" s="31" t="s">
        <v>44</v>
      </c>
      <c r="K4" s="31" t="s">
        <v>45</v>
      </c>
      <c r="L4" s="31" t="s">
        <v>46</v>
      </c>
      <c r="M4" s="31" t="s">
        <v>47</v>
      </c>
      <c r="N4" s="31" t="s">
        <v>48</v>
      </c>
      <c r="O4" s="2"/>
      <c r="P4" s="2"/>
      <c r="Q4" s="2"/>
      <c r="R4" s="2"/>
      <c r="S4" s="2"/>
      <c r="T4" s="2"/>
      <c r="U4" s="2"/>
      <c r="V4" s="2"/>
      <c r="W4" s="2"/>
      <c r="X4" s="2"/>
      <c r="Y4" s="2"/>
      <c r="Z4" s="2"/>
    </row>
    <row r="5" spans="1:26" ht="12.75" customHeight="1" x14ac:dyDescent="0.25">
      <c r="A5" s="33" t="s">
        <v>49</v>
      </c>
      <c r="B5" s="34">
        <f>B6</f>
        <v>19350484.740000077</v>
      </c>
      <c r="C5" s="35"/>
      <c r="D5" s="34">
        <f>D6</f>
        <v>-613038.45662200451</v>
      </c>
      <c r="E5" s="35"/>
      <c r="F5" s="34">
        <f>F6</f>
        <v>18737446.283378072</v>
      </c>
      <c r="G5" s="24"/>
      <c r="H5" s="36">
        <v>72378.619999000002</v>
      </c>
      <c r="I5" s="36">
        <v>294333.200006</v>
      </c>
      <c r="J5" s="36">
        <v>10606504.903370999</v>
      </c>
      <c r="K5" s="36">
        <v>2693356.9166680002</v>
      </c>
      <c r="L5" s="36">
        <v>3150389.5966690001</v>
      </c>
      <c r="M5" s="36">
        <v>31211.219999999998</v>
      </c>
      <c r="N5" s="36">
        <v>1889272.0866650001</v>
      </c>
      <c r="O5" s="23" t="s">
        <v>50</v>
      </c>
      <c r="P5" s="37"/>
      <c r="Q5" s="2"/>
      <c r="R5" s="28"/>
      <c r="S5" s="2"/>
      <c r="T5" s="2"/>
      <c r="U5" s="2"/>
      <c r="V5" s="2"/>
      <c r="W5" s="2"/>
      <c r="X5" s="2"/>
      <c r="Y5" s="2"/>
      <c r="Z5" s="2"/>
    </row>
    <row r="6" spans="1:26" ht="12.75" customHeight="1" x14ac:dyDescent="0.25">
      <c r="A6" s="38" t="s">
        <v>51</v>
      </c>
      <c r="B6" s="39">
        <v>19350484.740000077</v>
      </c>
      <c r="C6" s="28"/>
      <c r="D6" s="39">
        <f>SUMIFS(Data!N:N,Data!A:A,Data!$A$4,Data!C:C,'Projected YE Balances'!A6)-SUMIFS(Data!N:N,Data!A:A,Data!$A$49,Data!C:C,'Projected YE Balances'!A6)</f>
        <v>-613038.45662200451</v>
      </c>
      <c r="E6" s="28"/>
      <c r="F6" s="39">
        <f>B6+D6</f>
        <v>18737446.283378072</v>
      </c>
      <c r="G6" s="24"/>
      <c r="H6" s="40"/>
      <c r="I6" s="40"/>
      <c r="J6" s="40"/>
      <c r="K6" s="40"/>
      <c r="L6" s="40"/>
      <c r="M6" s="40"/>
      <c r="N6" s="40"/>
      <c r="O6" s="2"/>
      <c r="P6" s="41"/>
      <c r="Q6" s="2"/>
      <c r="R6" s="2"/>
      <c r="S6" s="2"/>
      <c r="T6" s="2"/>
      <c r="U6" s="2"/>
      <c r="V6" s="2"/>
      <c r="W6" s="2"/>
      <c r="X6" s="2"/>
      <c r="Y6" s="2"/>
      <c r="Z6" s="2"/>
    </row>
    <row r="7" spans="1:26" ht="12.75" customHeight="1" x14ac:dyDescent="0.25">
      <c r="A7" s="33" t="s">
        <v>52</v>
      </c>
      <c r="B7" s="34">
        <f>SUM(B8:B26)</f>
        <v>2633198.6299999957</v>
      </c>
      <c r="C7" s="35"/>
      <c r="D7" s="34">
        <f>SUM(D8:D26)</f>
        <v>-123232.54997799968</v>
      </c>
      <c r="E7" s="35"/>
      <c r="F7" s="34">
        <f>SUM(F8:F26)</f>
        <v>2509966.0800219961</v>
      </c>
      <c r="G7" s="24"/>
      <c r="H7" s="40"/>
      <c r="I7" s="40"/>
      <c r="J7" s="40"/>
      <c r="K7" s="40"/>
      <c r="L7" s="40"/>
      <c r="M7" s="39">
        <f>F7</f>
        <v>2509966.0800219961</v>
      </c>
      <c r="N7" s="40"/>
      <c r="O7" s="2"/>
      <c r="P7" s="26"/>
      <c r="Q7" s="2"/>
      <c r="R7" s="2"/>
      <c r="S7" s="2"/>
      <c r="T7" s="2"/>
      <c r="U7" s="2"/>
      <c r="V7" s="2"/>
      <c r="W7" s="2"/>
      <c r="X7" s="2"/>
      <c r="Y7" s="2"/>
      <c r="Z7" s="2"/>
    </row>
    <row r="8" spans="1:26" ht="12.75" customHeight="1" x14ac:dyDescent="0.25">
      <c r="A8" s="38" t="s">
        <v>53</v>
      </c>
      <c r="B8" s="39">
        <v>43962.250000000029</v>
      </c>
      <c r="C8" s="28"/>
      <c r="D8" s="39">
        <f>SUMIFS(Data!N:N,Data!A:A,Data!$A$4,Data!C:C,'Projected YE Balances'!A8)-SUMIFS(Data!N:N,Data!A:A,Data!$A$49,Data!C:C,'Projected YE Balances'!A8)</f>
        <v>33820.036668000001</v>
      </c>
      <c r="E8" s="28"/>
      <c r="F8" s="39">
        <f t="shared" ref="F8:F26" si="0">B8+D8</f>
        <v>77782.28666800003</v>
      </c>
      <c r="G8" s="24"/>
      <c r="H8" s="40"/>
      <c r="I8" s="40"/>
      <c r="J8" s="40"/>
      <c r="K8" s="40"/>
      <c r="L8" s="40"/>
      <c r="M8" s="40"/>
      <c r="N8" s="40"/>
      <c r="O8" s="2"/>
      <c r="P8" s="2"/>
      <c r="Q8" s="2"/>
      <c r="R8" s="2"/>
      <c r="S8" s="2"/>
      <c r="T8" s="2"/>
      <c r="U8" s="2"/>
      <c r="V8" s="2"/>
      <c r="W8" s="2"/>
      <c r="X8" s="2"/>
      <c r="Y8" s="2"/>
      <c r="Z8" s="2"/>
    </row>
    <row r="9" spans="1:26" ht="12.75" customHeight="1" x14ac:dyDescent="0.25">
      <c r="A9" s="38" t="s">
        <v>54</v>
      </c>
      <c r="B9" s="39">
        <v>31931.390000000003</v>
      </c>
      <c r="C9" s="28"/>
      <c r="D9" s="39">
        <f>SUMIFS(Data!N:N,Data!A:A,Data!$A$4,Data!C:C,'Projected YE Balances'!A9)-SUMIFS(Data!N:N,Data!A:A,Data!$A$49,Data!C:C,'Projected YE Balances'!A9)</f>
        <v>3828.5033330000001</v>
      </c>
      <c r="E9" s="28"/>
      <c r="F9" s="39">
        <f t="shared" si="0"/>
        <v>35759.893333</v>
      </c>
      <c r="G9" s="24"/>
      <c r="H9" s="40"/>
      <c r="I9" s="40"/>
      <c r="J9" s="40"/>
      <c r="K9" s="40"/>
      <c r="L9" s="40"/>
      <c r="M9" s="40"/>
      <c r="N9" s="40"/>
      <c r="O9" s="2"/>
      <c r="P9" s="2"/>
      <c r="Q9" s="2"/>
      <c r="R9" s="2"/>
      <c r="S9" s="2"/>
      <c r="T9" s="2"/>
      <c r="U9" s="2"/>
      <c r="V9" s="2"/>
      <c r="W9" s="2"/>
      <c r="X9" s="2"/>
      <c r="Y9" s="2"/>
      <c r="Z9" s="2"/>
    </row>
    <row r="10" spans="1:26" ht="12.75" customHeight="1" x14ac:dyDescent="0.25">
      <c r="A10" s="38" t="s">
        <v>55</v>
      </c>
      <c r="B10" s="39">
        <v>12212.93</v>
      </c>
      <c r="C10" s="28"/>
      <c r="D10" s="39">
        <f>SUMIFS(Data!N:N,Data!A:A,Data!$A$4,Data!C:C,'Projected YE Balances'!A10)-SUMIFS(Data!N:N,Data!A:A,Data!$A$49,Data!C:C,'Projected YE Balances'!A10)</f>
        <v>1662.123333</v>
      </c>
      <c r="E10" s="28"/>
      <c r="F10" s="39">
        <f t="shared" si="0"/>
        <v>13875.053333</v>
      </c>
      <c r="G10" s="24"/>
      <c r="H10" s="40"/>
      <c r="I10" s="40"/>
      <c r="J10" s="40"/>
      <c r="K10" s="40"/>
      <c r="L10" s="40"/>
      <c r="M10" s="40"/>
      <c r="N10" s="40"/>
      <c r="O10" s="2"/>
      <c r="P10" s="2"/>
      <c r="Q10" s="2"/>
      <c r="R10" s="2"/>
      <c r="S10" s="2"/>
      <c r="T10" s="2"/>
      <c r="U10" s="2"/>
      <c r="V10" s="2"/>
      <c r="W10" s="2"/>
      <c r="X10" s="2"/>
      <c r="Y10" s="2"/>
      <c r="Z10" s="2"/>
    </row>
    <row r="11" spans="1:26" ht="12.75" customHeight="1" x14ac:dyDescent="0.25">
      <c r="A11" s="38" t="s">
        <v>56</v>
      </c>
      <c r="B11" s="39">
        <v>7439.6299999999992</v>
      </c>
      <c r="C11" s="28"/>
      <c r="D11" s="39">
        <f>SUMIFS(Data!N:N,Data!A:A,Data!$A$4,Data!C:C,'Projected YE Balances'!A11)-SUMIFS(Data!N:N,Data!A:A,Data!$A$49,Data!C:C,'Projected YE Balances'!A11)</f>
        <v>790.9033350000002</v>
      </c>
      <c r="E11" s="28"/>
      <c r="F11" s="39">
        <f t="shared" si="0"/>
        <v>8230.5333350000001</v>
      </c>
      <c r="G11" s="24"/>
      <c r="H11" s="40"/>
      <c r="I11" s="40"/>
      <c r="J11" s="40"/>
      <c r="K11" s="40"/>
      <c r="L11" s="40"/>
      <c r="M11" s="40"/>
      <c r="N11" s="40"/>
      <c r="O11" s="2"/>
      <c r="P11" s="2"/>
      <c r="Q11" s="2"/>
      <c r="R11" s="2"/>
      <c r="S11" s="2"/>
      <c r="T11" s="2"/>
      <c r="U11" s="2"/>
      <c r="V11" s="2"/>
      <c r="W11" s="2"/>
      <c r="X11" s="2"/>
      <c r="Y11" s="2"/>
      <c r="Z11" s="2"/>
    </row>
    <row r="12" spans="1:26" ht="12.75" customHeight="1" x14ac:dyDescent="0.25">
      <c r="A12" s="38" t="s">
        <v>57</v>
      </c>
      <c r="B12" s="39">
        <v>17753.489999999998</v>
      </c>
      <c r="C12" s="28"/>
      <c r="D12" s="39">
        <f>SUMIFS(Data!N:N,Data!A:A,Data!$A$4,Data!C:C,'Projected YE Balances'!A12)-SUMIFS(Data!N:N,Data!A:A,Data!$A$49,Data!C:C,'Projected YE Balances'!A12)</f>
        <v>-1250</v>
      </c>
      <c r="E12" s="28"/>
      <c r="F12" s="39">
        <f t="shared" si="0"/>
        <v>16503.489999999998</v>
      </c>
      <c r="G12" s="24"/>
      <c r="H12" s="40"/>
      <c r="I12" s="40"/>
      <c r="J12" s="40"/>
      <c r="K12" s="40"/>
      <c r="L12" s="40"/>
      <c r="M12" s="40"/>
      <c r="N12" s="40"/>
      <c r="O12" s="2"/>
      <c r="P12" s="2"/>
      <c r="Q12" s="2"/>
      <c r="R12" s="2"/>
      <c r="S12" s="2"/>
      <c r="T12" s="2"/>
      <c r="U12" s="2"/>
      <c r="V12" s="2"/>
      <c r="W12" s="2"/>
      <c r="X12" s="2"/>
      <c r="Y12" s="2"/>
      <c r="Z12" s="2"/>
    </row>
    <row r="13" spans="1:26" ht="12.75" customHeight="1" x14ac:dyDescent="0.25">
      <c r="A13" s="38" t="s">
        <v>58</v>
      </c>
      <c r="B13" s="39">
        <v>53602.140000000007</v>
      </c>
      <c r="C13" s="28"/>
      <c r="D13" s="39">
        <f>SUMIFS(Data!N:N,Data!A:A,Data!$A$4,Data!C:C,'Projected YE Balances'!A13)-SUMIFS(Data!N:N,Data!A:A,Data!$A$49,Data!C:C,'Projected YE Balances'!A13)</f>
        <v>7795.4533339999998</v>
      </c>
      <c r="E13" s="28"/>
      <c r="F13" s="39">
        <f t="shared" si="0"/>
        <v>61397.593334000005</v>
      </c>
      <c r="G13" s="24"/>
      <c r="H13" s="40"/>
      <c r="I13" s="40"/>
      <c r="J13" s="40"/>
      <c r="K13" s="40"/>
      <c r="L13" s="40"/>
      <c r="M13" s="40"/>
      <c r="N13" s="40"/>
      <c r="O13" s="2"/>
      <c r="P13" s="2"/>
      <c r="Q13" s="2"/>
      <c r="R13" s="2"/>
      <c r="S13" s="2"/>
      <c r="T13" s="2"/>
      <c r="U13" s="2"/>
      <c r="V13" s="2"/>
      <c r="W13" s="2"/>
      <c r="X13" s="2"/>
      <c r="Y13" s="2"/>
      <c r="Z13" s="2"/>
    </row>
    <row r="14" spans="1:26" ht="12.75" customHeight="1" x14ac:dyDescent="0.25">
      <c r="A14" s="38" t="s">
        <v>59</v>
      </c>
      <c r="B14" s="39">
        <v>13273.43</v>
      </c>
      <c r="C14" s="28"/>
      <c r="D14" s="39">
        <f>SUMIFS(Data!N:N,Data!A:A,Data!$A$4,Data!C:C,'Projected YE Balances'!A14)-SUMIFS(Data!N:N,Data!A:A,Data!$A$49,Data!C:C,'Projected YE Balances'!A14)</f>
        <v>2340.9033330000002</v>
      </c>
      <c r="E14" s="28"/>
      <c r="F14" s="39">
        <f t="shared" si="0"/>
        <v>15614.333333</v>
      </c>
      <c r="G14" s="24"/>
      <c r="H14" s="40"/>
      <c r="I14" s="40"/>
      <c r="J14" s="40"/>
      <c r="K14" s="40"/>
      <c r="L14" s="40"/>
      <c r="M14" s="40"/>
      <c r="N14" s="40"/>
      <c r="O14" s="2"/>
      <c r="P14" s="2"/>
      <c r="Q14" s="2"/>
      <c r="R14" s="2"/>
      <c r="S14" s="2"/>
      <c r="T14" s="2"/>
      <c r="U14" s="2"/>
      <c r="V14" s="2"/>
      <c r="W14" s="2"/>
      <c r="X14" s="2"/>
      <c r="Y14" s="2"/>
      <c r="Z14" s="2"/>
    </row>
    <row r="15" spans="1:26" ht="12.75" customHeight="1" x14ac:dyDescent="0.25">
      <c r="A15" s="38" t="s">
        <v>60</v>
      </c>
      <c r="B15" s="39">
        <v>10425.639999999998</v>
      </c>
      <c r="C15" s="28"/>
      <c r="D15" s="39">
        <f>SUMIFS(Data!N:N,Data!A:A,Data!$A$4,Data!C:C,'Projected YE Balances'!A15)-SUMIFS(Data!N:N,Data!A:A,Data!$A$49,Data!C:C,'Projected YE Balances'!A15)</f>
        <v>6257.7699999999995</v>
      </c>
      <c r="E15" s="28"/>
      <c r="F15" s="39">
        <f t="shared" si="0"/>
        <v>16683.409999999996</v>
      </c>
      <c r="G15" s="24"/>
      <c r="H15" s="40"/>
      <c r="I15" s="40"/>
      <c r="J15" s="40"/>
      <c r="K15" s="40"/>
      <c r="L15" s="40"/>
      <c r="M15" s="40"/>
      <c r="N15" s="40"/>
      <c r="O15" s="2"/>
      <c r="P15" s="2"/>
      <c r="Q15" s="2"/>
      <c r="R15" s="2"/>
      <c r="S15" s="2"/>
      <c r="T15" s="2"/>
      <c r="U15" s="2"/>
      <c r="V15" s="2"/>
      <c r="W15" s="2"/>
      <c r="X15" s="2"/>
      <c r="Y15" s="2"/>
      <c r="Z15" s="2"/>
    </row>
    <row r="16" spans="1:26" ht="12.75" customHeight="1" x14ac:dyDescent="0.25">
      <c r="A16" s="38" t="s">
        <v>61</v>
      </c>
      <c r="B16" s="39">
        <v>15879.779999999999</v>
      </c>
      <c r="C16" s="28"/>
      <c r="D16" s="39">
        <f>SUMIFS(Data!N:N,Data!A:A,Data!$A$4,Data!C:C,'Projected YE Balances'!A16)-SUMIFS(Data!N:N,Data!A:A,Data!$A$49,Data!C:C,'Projected YE Balances'!A16)</f>
        <v>-539.08333300000004</v>
      </c>
      <c r="E16" s="28"/>
      <c r="F16" s="39">
        <f t="shared" si="0"/>
        <v>15340.696666999998</v>
      </c>
      <c r="G16" s="24"/>
      <c r="H16" s="40"/>
      <c r="I16" s="40"/>
      <c r="J16" s="40"/>
      <c r="K16" s="40"/>
      <c r="L16" s="40"/>
      <c r="M16" s="40"/>
      <c r="N16" s="40"/>
      <c r="O16" s="2"/>
      <c r="P16" s="2"/>
      <c r="Q16" s="2"/>
      <c r="R16" s="2"/>
      <c r="S16" s="2"/>
      <c r="T16" s="2"/>
      <c r="U16" s="2"/>
      <c r="V16" s="2"/>
      <c r="W16" s="2"/>
      <c r="X16" s="2"/>
      <c r="Y16" s="2"/>
      <c r="Z16" s="2"/>
    </row>
    <row r="17" spans="1:26" ht="12.75" customHeight="1" x14ac:dyDescent="0.25">
      <c r="A17" s="38" t="s">
        <v>62</v>
      </c>
      <c r="B17" s="39">
        <v>15483.169999999998</v>
      </c>
      <c r="C17" s="28"/>
      <c r="D17" s="39">
        <f>SUMIFS(Data!N:N,Data!A:A,Data!$A$4,Data!C:C,'Projected YE Balances'!A17)-SUMIFS(Data!N:N,Data!A:A,Data!$A$49,Data!C:C,'Projected YE Balances'!A17)</f>
        <v>843.120001</v>
      </c>
      <c r="E17" s="28"/>
      <c r="F17" s="39">
        <f t="shared" si="0"/>
        <v>16326.290000999998</v>
      </c>
      <c r="G17" s="24"/>
      <c r="H17" s="40"/>
      <c r="I17" s="40"/>
      <c r="J17" s="40"/>
      <c r="K17" s="40"/>
      <c r="L17" s="40"/>
      <c r="M17" s="40"/>
      <c r="N17" s="40"/>
      <c r="O17" s="2"/>
      <c r="P17" s="2"/>
      <c r="Q17" s="2"/>
      <c r="R17" s="2"/>
      <c r="S17" s="2"/>
      <c r="T17" s="2"/>
      <c r="U17" s="2"/>
      <c r="V17" s="2"/>
      <c r="W17" s="2"/>
      <c r="X17" s="2"/>
      <c r="Y17" s="2"/>
      <c r="Z17" s="2"/>
    </row>
    <row r="18" spans="1:26" ht="12.75" customHeight="1" x14ac:dyDescent="0.25">
      <c r="A18" s="38" t="s">
        <v>63</v>
      </c>
      <c r="B18" s="39">
        <v>51736.9</v>
      </c>
      <c r="C18" s="28"/>
      <c r="D18" s="39">
        <f>SUMIFS(Data!N:N,Data!A:A,Data!$A$4,Data!C:C,'Projected YE Balances'!A18)-SUMIFS(Data!N:N,Data!A:A,Data!$A$49,Data!C:C,'Projected YE Balances'!A18)</f>
        <v>16646.703333000001</v>
      </c>
      <c r="E18" s="28"/>
      <c r="F18" s="39">
        <f t="shared" si="0"/>
        <v>68383.603333000006</v>
      </c>
      <c r="G18" s="24"/>
      <c r="H18" s="40"/>
      <c r="I18" s="40"/>
      <c r="J18" s="40"/>
      <c r="K18" s="40"/>
      <c r="L18" s="40"/>
      <c r="M18" s="40"/>
      <c r="N18" s="40"/>
      <c r="O18" s="2"/>
      <c r="P18" s="2"/>
      <c r="Q18" s="2"/>
      <c r="R18" s="2"/>
      <c r="S18" s="2"/>
      <c r="T18" s="2"/>
      <c r="U18" s="2"/>
      <c r="V18" s="2"/>
      <c r="W18" s="2"/>
      <c r="X18" s="2"/>
      <c r="Y18" s="2"/>
      <c r="Z18" s="2"/>
    </row>
    <row r="19" spans="1:26" ht="12.75" customHeight="1" x14ac:dyDescent="0.25">
      <c r="A19" s="38" t="s">
        <v>64</v>
      </c>
      <c r="B19" s="39">
        <v>31138.739999999994</v>
      </c>
      <c r="C19" s="28"/>
      <c r="D19" s="39">
        <f>SUMIFS(Data!N:N,Data!A:A,Data!$A$4,Data!C:C,'Projected YE Balances'!A19)-SUMIFS(Data!N:N,Data!A:A,Data!$A$49,Data!C:C,'Projected YE Balances'!A19)</f>
        <v>4935.893333</v>
      </c>
      <c r="E19" s="28"/>
      <c r="F19" s="39">
        <f t="shared" si="0"/>
        <v>36074.633332999991</v>
      </c>
      <c r="G19" s="24"/>
      <c r="H19" s="40"/>
      <c r="I19" s="40"/>
      <c r="J19" s="40"/>
      <c r="K19" s="40"/>
      <c r="L19" s="40"/>
      <c r="M19" s="40"/>
      <c r="N19" s="40"/>
      <c r="O19" s="2"/>
      <c r="P19" s="2"/>
      <c r="Q19" s="2"/>
      <c r="R19" s="2"/>
      <c r="S19" s="2"/>
      <c r="T19" s="2"/>
      <c r="U19" s="2"/>
      <c r="V19" s="2"/>
      <c r="W19" s="2"/>
      <c r="X19" s="2"/>
      <c r="Y19" s="2"/>
      <c r="Z19" s="2"/>
    </row>
    <row r="20" spans="1:26" ht="12.75" customHeight="1" x14ac:dyDescent="0.25">
      <c r="A20" s="38" t="s">
        <v>65</v>
      </c>
      <c r="B20" s="39">
        <v>67551.51999999999</v>
      </c>
      <c r="C20" s="28"/>
      <c r="D20" s="39">
        <f>SUMIFS(Data!N:N,Data!A:A,Data!$A$4,Data!C:C,'Projected YE Balances'!A20)-SUMIFS(Data!N:N,Data!A:A,Data!$A$49,Data!C:C,'Projected YE Balances'!A20)</f>
        <v>46013.279999999999</v>
      </c>
      <c r="E20" s="28"/>
      <c r="F20" s="39">
        <f t="shared" si="0"/>
        <v>113564.79999999999</v>
      </c>
      <c r="G20" s="24"/>
      <c r="H20" s="40"/>
      <c r="I20" s="40"/>
      <c r="J20" s="40"/>
      <c r="K20" s="40"/>
      <c r="L20" s="40"/>
      <c r="M20" s="40"/>
      <c r="N20" s="40"/>
      <c r="O20" s="2"/>
      <c r="P20" s="2"/>
      <c r="Q20" s="2"/>
      <c r="R20" s="2"/>
      <c r="S20" s="2"/>
      <c r="T20" s="2"/>
      <c r="U20" s="2"/>
      <c r="V20" s="2"/>
      <c r="W20" s="2"/>
      <c r="X20" s="2"/>
      <c r="Y20" s="2"/>
      <c r="Z20" s="2"/>
    </row>
    <row r="21" spans="1:26" ht="12.75" customHeight="1" x14ac:dyDescent="0.25">
      <c r="A21" s="38" t="s">
        <v>66</v>
      </c>
      <c r="B21" s="39">
        <v>411448.58999999968</v>
      </c>
      <c r="C21" s="28"/>
      <c r="D21" s="39">
        <f>SUMIFS(Data!N:N,Data!A:A,Data!$A$4,Data!C:C,'Projected YE Balances'!A21)-SUMIFS(Data!N:N,Data!A:A,Data!$A$49,Data!C:C,'Projected YE Balances'!A21)</f>
        <v>-438853.36</v>
      </c>
      <c r="E21" s="28"/>
      <c r="F21" s="39">
        <f t="shared" si="0"/>
        <v>-27404.77000000031</v>
      </c>
      <c r="G21" s="24"/>
      <c r="H21" s="40"/>
      <c r="I21" s="40"/>
      <c r="J21" s="40"/>
      <c r="K21" s="40"/>
      <c r="L21" s="40"/>
      <c r="M21" s="40"/>
      <c r="N21" s="40"/>
      <c r="O21" s="2"/>
      <c r="P21" s="2"/>
      <c r="Q21" s="2"/>
      <c r="R21" s="2"/>
      <c r="S21" s="2"/>
      <c r="T21" s="2"/>
      <c r="U21" s="2"/>
      <c r="V21" s="2"/>
      <c r="W21" s="2"/>
      <c r="X21" s="2"/>
      <c r="Y21" s="2"/>
      <c r="Z21" s="2"/>
    </row>
    <row r="22" spans="1:26" ht="12.75" customHeight="1" x14ac:dyDescent="0.25">
      <c r="A22" s="38" t="s">
        <v>67</v>
      </c>
      <c r="B22" s="39">
        <v>106247.95000000006</v>
      </c>
      <c r="C22" s="28"/>
      <c r="D22" s="39">
        <f>SUMIFS(Data!N:N,Data!A:A,Data!$A$4,Data!C:C,'Projected YE Balances'!A22)-SUMIFS(Data!N:N,Data!A:A,Data!$A$49,Data!C:C,'Projected YE Balances'!A22)</f>
        <v>88584.466667000001</v>
      </c>
      <c r="E22" s="28"/>
      <c r="F22" s="39">
        <f t="shared" si="0"/>
        <v>194832.41666700004</v>
      </c>
      <c r="G22" s="24"/>
      <c r="H22" s="40"/>
      <c r="I22" s="40"/>
      <c r="J22" s="40"/>
      <c r="K22" s="40"/>
      <c r="L22" s="40"/>
      <c r="M22" s="40"/>
      <c r="N22" s="40"/>
      <c r="O22" s="2"/>
      <c r="P22" s="2"/>
      <c r="Q22" s="2"/>
      <c r="R22" s="2"/>
      <c r="S22" s="2"/>
      <c r="T22" s="2"/>
      <c r="U22" s="2"/>
      <c r="V22" s="2"/>
      <c r="W22" s="2"/>
      <c r="X22" s="2"/>
      <c r="Y22" s="2"/>
      <c r="Z22" s="2"/>
    </row>
    <row r="23" spans="1:26" ht="12.75" customHeight="1" x14ac:dyDescent="0.25">
      <c r="A23" s="38" t="s">
        <v>68</v>
      </c>
      <c r="B23" s="39">
        <v>806486.99999999651</v>
      </c>
      <c r="C23" s="28"/>
      <c r="D23" s="39">
        <f>SUMIFS(Data!N:N,Data!A:A,Data!$A$4,Data!C:C,'Projected YE Balances'!A23)-SUMIFS(Data!N:N,Data!A:A,Data!$A$49,Data!C:C,'Projected YE Balances'!A23)</f>
        <v>0.40668700030073524</v>
      </c>
      <c r="E23" s="28"/>
      <c r="F23" s="39">
        <f t="shared" si="0"/>
        <v>806487.40668699681</v>
      </c>
      <c r="G23" s="24"/>
      <c r="H23" s="40"/>
      <c r="I23" s="40"/>
      <c r="J23" s="40"/>
      <c r="K23" s="40"/>
      <c r="L23" s="40"/>
      <c r="M23" s="40"/>
      <c r="N23" s="40"/>
      <c r="O23" s="2"/>
      <c r="P23" s="2"/>
      <c r="Q23" s="2"/>
      <c r="R23" s="2"/>
      <c r="S23" s="2"/>
      <c r="T23" s="2"/>
      <c r="U23" s="2"/>
      <c r="V23" s="2"/>
      <c r="W23" s="2"/>
      <c r="X23" s="2"/>
      <c r="Y23" s="2"/>
      <c r="Z23" s="2"/>
    </row>
    <row r="24" spans="1:26" ht="12.75" customHeight="1" x14ac:dyDescent="0.25">
      <c r="A24" s="38" t="s">
        <v>69</v>
      </c>
      <c r="B24" s="39">
        <v>662104.85999999987</v>
      </c>
      <c r="C24" s="28"/>
      <c r="D24" s="39">
        <f>SUMIFS(Data!N:N,Data!A:A,Data!$A$4,Data!C:C,'Projected YE Balances'!A24)-SUMIFS(Data!N:N,Data!A:A,Data!$A$49,Data!C:C,'Projected YE Balances'!A24)</f>
        <v>105577.643331</v>
      </c>
      <c r="E24" s="28"/>
      <c r="F24" s="39">
        <f t="shared" si="0"/>
        <v>767682.50333099987</v>
      </c>
      <c r="G24" s="24"/>
      <c r="H24" s="40"/>
      <c r="I24" s="40"/>
      <c r="J24" s="40"/>
      <c r="K24" s="40"/>
      <c r="L24" s="40"/>
      <c r="M24" s="40"/>
      <c r="N24" s="40"/>
      <c r="O24" s="2"/>
      <c r="P24" s="2"/>
      <c r="Q24" s="2"/>
      <c r="R24" s="2"/>
      <c r="S24" s="2"/>
      <c r="T24" s="2"/>
      <c r="U24" s="2"/>
      <c r="V24" s="2"/>
      <c r="W24" s="2"/>
      <c r="X24" s="2"/>
      <c r="Y24" s="2"/>
      <c r="Z24" s="2"/>
    </row>
    <row r="25" spans="1:26" ht="12.75" customHeight="1" x14ac:dyDescent="0.25">
      <c r="A25" s="38" t="s">
        <v>70</v>
      </c>
      <c r="B25" s="39">
        <v>15453.63</v>
      </c>
      <c r="C25" s="28"/>
      <c r="D25" s="39">
        <f>SUMIFS(Data!N:N,Data!A:A,Data!$A$4,Data!C:C,'Projected YE Balances'!A25)-SUMIFS(Data!N:N,Data!A:A,Data!$A$49,Data!C:C,'Projected YE Balances'!A25)</f>
        <v>-1687.3133329999996</v>
      </c>
      <c r="E25" s="28"/>
      <c r="F25" s="39">
        <f t="shared" si="0"/>
        <v>13766.316666999999</v>
      </c>
      <c r="G25" s="24"/>
      <c r="H25" s="40"/>
      <c r="I25" s="40"/>
      <c r="J25" s="40"/>
      <c r="K25" s="40"/>
      <c r="L25" s="40"/>
      <c r="M25" s="40"/>
      <c r="N25" s="40"/>
      <c r="O25" s="2"/>
      <c r="P25" s="2"/>
      <c r="Q25" s="2"/>
      <c r="R25" s="2"/>
      <c r="S25" s="2"/>
      <c r="T25" s="2"/>
      <c r="U25" s="2"/>
      <c r="V25" s="2"/>
      <c r="W25" s="2"/>
      <c r="X25" s="2"/>
      <c r="Y25" s="2"/>
      <c r="Z25" s="2"/>
    </row>
    <row r="26" spans="1:26" ht="12.75" customHeight="1" x14ac:dyDescent="0.25">
      <c r="A26" s="38" t="s">
        <v>71</v>
      </c>
      <c r="B26" s="39">
        <v>259065.58999999997</v>
      </c>
      <c r="C26" s="28"/>
      <c r="D26" s="39">
        <f>SUMIFS(Data!N:N,Data!A:A,Data!$A$4,Data!C:C,'Projected YE Balances'!A26)-SUMIFS(Data!N:N,Data!A:A,Data!$A$49,Data!C:C,'Projected YE Balances'!A26)</f>
        <v>0</v>
      </c>
      <c r="E26" s="28"/>
      <c r="F26" s="39">
        <f t="shared" si="0"/>
        <v>259065.58999999997</v>
      </c>
      <c r="G26" s="24"/>
      <c r="H26" s="40"/>
      <c r="I26" s="40"/>
      <c r="J26" s="40"/>
      <c r="K26" s="40"/>
      <c r="L26" s="40"/>
      <c r="M26" s="40"/>
      <c r="N26" s="40"/>
      <c r="O26" s="2"/>
      <c r="P26" s="2"/>
      <c r="Q26" s="2"/>
      <c r="R26" s="2"/>
      <c r="S26" s="2"/>
      <c r="T26" s="2"/>
      <c r="U26" s="2"/>
      <c r="V26" s="2"/>
      <c r="W26" s="2"/>
      <c r="X26" s="2"/>
      <c r="Y26" s="2"/>
      <c r="Z26" s="2"/>
    </row>
    <row r="27" spans="1:26" ht="12.75" customHeight="1" x14ac:dyDescent="0.25">
      <c r="A27" s="33" t="s">
        <v>72</v>
      </c>
      <c r="B27" s="34">
        <f>SUM(B28:B29)</f>
        <v>-268893.18000000011</v>
      </c>
      <c r="C27" s="35"/>
      <c r="D27" s="34">
        <f>SUM(D28:D29)</f>
        <v>-278112.610002</v>
      </c>
      <c r="E27" s="35"/>
      <c r="F27" s="34">
        <f>SUM(F28:F29)</f>
        <v>-547005.79000200017</v>
      </c>
      <c r="G27" s="24"/>
      <c r="H27" s="40"/>
      <c r="I27" s="40"/>
      <c r="J27" s="40"/>
      <c r="K27" s="40"/>
      <c r="L27" s="39">
        <f>F27</f>
        <v>-547005.79000200017</v>
      </c>
      <c r="M27" s="40"/>
      <c r="N27" s="40"/>
      <c r="O27" s="2"/>
      <c r="P27" s="2"/>
      <c r="Q27" s="2"/>
      <c r="R27" s="2"/>
      <c r="S27" s="2"/>
      <c r="T27" s="2"/>
      <c r="U27" s="2"/>
      <c r="V27" s="2"/>
      <c r="W27" s="2"/>
      <c r="X27" s="2"/>
      <c r="Y27" s="2"/>
      <c r="Z27" s="2"/>
    </row>
    <row r="28" spans="1:26" ht="12.75" customHeight="1" x14ac:dyDescent="0.25">
      <c r="A28" s="38" t="s">
        <v>73</v>
      </c>
      <c r="B28" s="39">
        <v>-170155.4800000001</v>
      </c>
      <c r="C28" s="28"/>
      <c r="D28" s="39">
        <f>SUMIFS(Data!N:N,Data!A:A,Data!$A$4,Data!C:C,'Projected YE Balances'!A28)-SUMIFS(Data!N:N,Data!A:A,Data!$A$49,Data!C:C,'Projected YE Balances'!A28)</f>
        <v>-144530.29</v>
      </c>
      <c r="E28" s="28"/>
      <c r="F28" s="39">
        <f t="shared" ref="F28:F29" si="1">B28+D28</f>
        <v>-314685.77000000014</v>
      </c>
      <c r="G28" s="24"/>
      <c r="H28" s="40"/>
      <c r="I28" s="40"/>
      <c r="J28" s="40"/>
      <c r="K28" s="40"/>
      <c r="L28" s="40"/>
      <c r="M28" s="40"/>
      <c r="N28" s="40"/>
      <c r="O28" s="2"/>
      <c r="P28" s="2"/>
      <c r="Q28" s="2"/>
      <c r="R28" s="2"/>
      <c r="S28" s="2"/>
      <c r="T28" s="2"/>
      <c r="U28" s="2"/>
      <c r="V28" s="2"/>
      <c r="W28" s="2"/>
      <c r="X28" s="2"/>
      <c r="Y28" s="2"/>
      <c r="Z28" s="2"/>
    </row>
    <row r="29" spans="1:26" ht="12.75" customHeight="1" x14ac:dyDescent="0.25">
      <c r="A29" s="38" t="s">
        <v>74</v>
      </c>
      <c r="B29" s="39">
        <v>-98737.700000000012</v>
      </c>
      <c r="C29" s="28"/>
      <c r="D29" s="39">
        <f>SUMIFS(Data!N:N,Data!A:A,Data!$A$4,Data!C:C,'Projected YE Balances'!A29)-SUMIFS(Data!N:N,Data!A:A,Data!$A$49,Data!C:C,'Projected YE Balances'!A29)</f>
        <v>-133582.32000199999</v>
      </c>
      <c r="E29" s="28"/>
      <c r="F29" s="39">
        <f t="shared" si="1"/>
        <v>-232320.020002</v>
      </c>
      <c r="G29" s="24"/>
      <c r="H29" s="40"/>
      <c r="I29" s="40"/>
      <c r="J29" s="40"/>
      <c r="K29" s="40"/>
      <c r="L29" s="40"/>
      <c r="M29" s="40"/>
      <c r="N29" s="40"/>
      <c r="O29" s="2"/>
      <c r="P29" s="2"/>
      <c r="Q29" s="2"/>
      <c r="R29" s="2"/>
      <c r="S29" s="2"/>
      <c r="T29" s="2"/>
      <c r="U29" s="2"/>
      <c r="V29" s="2"/>
      <c r="W29" s="2"/>
      <c r="X29" s="2"/>
      <c r="Y29" s="2"/>
      <c r="Z29" s="2"/>
    </row>
    <row r="30" spans="1:26" ht="12.75" customHeight="1" x14ac:dyDescent="0.25">
      <c r="A30" s="33" t="s">
        <v>75</v>
      </c>
      <c r="B30" s="34">
        <f>SUM(B31:B38)</f>
        <v>3207064.5799999987</v>
      </c>
      <c r="C30" s="35"/>
      <c r="D30" s="34">
        <f>SUM(D31:D38)</f>
        <v>-375487.72333400027</v>
      </c>
      <c r="E30" s="35"/>
      <c r="F30" s="34">
        <f>SUM(F31:F38)</f>
        <v>2831576.8566659987</v>
      </c>
      <c r="G30" s="24"/>
      <c r="H30" s="40"/>
      <c r="I30" s="40"/>
      <c r="J30" s="39">
        <f>F30</f>
        <v>2831576.8566659987</v>
      </c>
      <c r="K30" s="40"/>
      <c r="L30" s="40"/>
      <c r="M30" s="40"/>
      <c r="N30" s="40"/>
      <c r="O30" s="2"/>
      <c r="P30" s="2"/>
      <c r="Q30" s="2"/>
      <c r="R30" s="2"/>
      <c r="S30" s="2"/>
      <c r="T30" s="2"/>
      <c r="U30" s="2"/>
      <c r="V30" s="2"/>
      <c r="W30" s="2"/>
      <c r="X30" s="2"/>
      <c r="Y30" s="2"/>
      <c r="Z30" s="2"/>
    </row>
    <row r="31" spans="1:26" ht="12.75" customHeight="1" x14ac:dyDescent="0.25">
      <c r="A31" s="38" t="s">
        <v>76</v>
      </c>
      <c r="B31" s="39">
        <v>1900512.0699999994</v>
      </c>
      <c r="C31" s="28"/>
      <c r="D31" s="39">
        <f>SUMIFS(Data!N:N,Data!A:A,Data!$A$4,Data!C:C,'Projected YE Balances'!A31)-SUMIFS(Data!N:N,Data!A:A,Data!$A$49,Data!C:C,'Projected YE Balances'!A31)</f>
        <v>-281323.57000100007</v>
      </c>
      <c r="E31" s="28"/>
      <c r="F31" s="39">
        <f t="shared" ref="F31:F38" si="2">B31+D31</f>
        <v>1619188.4999989993</v>
      </c>
      <c r="G31" s="24"/>
      <c r="H31" s="40"/>
      <c r="I31" s="40"/>
      <c r="J31" s="40"/>
      <c r="K31" s="40"/>
      <c r="L31" s="40"/>
      <c r="M31" s="40"/>
      <c r="N31" s="40"/>
      <c r="O31" s="2"/>
      <c r="P31" s="2"/>
      <c r="Q31" s="2"/>
      <c r="R31" s="2"/>
      <c r="S31" s="2"/>
      <c r="T31" s="2"/>
      <c r="U31" s="2"/>
      <c r="V31" s="2"/>
      <c r="W31" s="2"/>
      <c r="X31" s="2"/>
      <c r="Y31" s="2"/>
      <c r="Z31" s="2"/>
    </row>
    <row r="32" spans="1:26" ht="12.75" customHeight="1" x14ac:dyDescent="0.25">
      <c r="A32" s="38" t="s">
        <v>77</v>
      </c>
      <c r="B32" s="39">
        <v>63879.08</v>
      </c>
      <c r="C32" s="28"/>
      <c r="D32" s="39">
        <f>SUMIFS(Data!N:N,Data!A:A,Data!$A$4,Data!C:C,'Projected YE Balances'!A32)-SUMIFS(Data!N:N,Data!A:A,Data!$A$49,Data!C:C,'Projected YE Balances'!A32)</f>
        <v>0</v>
      </c>
      <c r="E32" s="28"/>
      <c r="F32" s="39">
        <f t="shared" si="2"/>
        <v>63879.08</v>
      </c>
      <c r="G32" s="24"/>
      <c r="H32" s="40"/>
      <c r="I32" s="40"/>
      <c r="J32" s="40"/>
      <c r="K32" s="40"/>
      <c r="L32" s="40"/>
      <c r="M32" s="40"/>
      <c r="N32" s="40"/>
      <c r="O32" s="2"/>
      <c r="P32" s="2"/>
      <c r="Q32" s="2"/>
      <c r="R32" s="2"/>
      <c r="S32" s="2"/>
      <c r="T32" s="2"/>
      <c r="U32" s="2"/>
      <c r="V32" s="2"/>
      <c r="W32" s="2"/>
      <c r="X32" s="2"/>
      <c r="Y32" s="2"/>
      <c r="Z32" s="2"/>
    </row>
    <row r="33" spans="1:26" ht="12.75" customHeight="1" x14ac:dyDescent="0.25">
      <c r="A33" s="38" t="s">
        <v>78</v>
      </c>
      <c r="B33" s="39">
        <v>0</v>
      </c>
      <c r="C33" s="28"/>
      <c r="D33" s="39">
        <f>SUMIFS(Data!N:N,Data!A:A,Data!$A$4,Data!C:C,'Projected YE Balances'!A33)-SUMIFS(Data!N:N,Data!A:A,Data!$A$49,Data!C:C,'Projected YE Balances'!A33)</f>
        <v>0</v>
      </c>
      <c r="E33" s="28"/>
      <c r="F33" s="39">
        <f t="shared" si="2"/>
        <v>0</v>
      </c>
      <c r="G33" s="24"/>
      <c r="H33" s="40"/>
      <c r="I33" s="40"/>
      <c r="J33" s="40"/>
      <c r="K33" s="40"/>
      <c r="L33" s="40"/>
      <c r="M33" s="40"/>
      <c r="N33" s="40"/>
      <c r="O33" s="2"/>
      <c r="P33" s="2"/>
      <c r="Q33" s="2"/>
      <c r="R33" s="2"/>
      <c r="S33" s="2"/>
      <c r="T33" s="2"/>
      <c r="U33" s="2"/>
      <c r="V33" s="2"/>
      <c r="W33" s="2"/>
      <c r="X33" s="2"/>
      <c r="Y33" s="2"/>
      <c r="Z33" s="2"/>
    </row>
    <row r="34" spans="1:26" ht="12.75" customHeight="1" x14ac:dyDescent="0.25">
      <c r="A34" s="38" t="s">
        <v>79</v>
      </c>
      <c r="B34" s="39">
        <v>428976.10999999952</v>
      </c>
      <c r="C34" s="28"/>
      <c r="D34" s="39">
        <f>SUMIFS(Data!N:N,Data!A:A,Data!$A$4,Data!C:C,'Projected YE Balances'!A34)-SUMIFS(Data!N:N,Data!A:A,Data!$A$49,Data!C:C,'Projected YE Balances'!A34)</f>
        <v>-28441.176668000175</v>
      </c>
      <c r="E34" s="28"/>
      <c r="F34" s="39">
        <f t="shared" si="2"/>
        <v>400534.93333199935</v>
      </c>
      <c r="G34" s="24"/>
      <c r="H34" s="40"/>
      <c r="I34" s="40"/>
      <c r="J34" s="40"/>
      <c r="K34" s="40"/>
      <c r="L34" s="40"/>
      <c r="M34" s="40"/>
      <c r="N34" s="40"/>
      <c r="O34" s="2"/>
      <c r="P34" s="2"/>
      <c r="Q34" s="2"/>
      <c r="R34" s="2"/>
      <c r="S34" s="2"/>
      <c r="T34" s="2"/>
      <c r="U34" s="2"/>
      <c r="V34" s="2"/>
      <c r="W34" s="2"/>
      <c r="X34" s="2"/>
      <c r="Y34" s="2"/>
      <c r="Z34" s="2"/>
    </row>
    <row r="35" spans="1:26" ht="12.75" customHeight="1" x14ac:dyDescent="0.25">
      <c r="A35" s="38" t="s">
        <v>80</v>
      </c>
      <c r="B35" s="39">
        <v>0</v>
      </c>
      <c r="C35" s="28"/>
      <c r="D35" s="39">
        <f>SUMIFS(Data!N:N,Data!A:A,Data!$A$4,Data!C:C,'Projected YE Balances'!A35)-SUMIFS(Data!N:N,Data!A:A,Data!$A$49,Data!C:C,'Projected YE Balances'!A35)</f>
        <v>0</v>
      </c>
      <c r="E35" s="28"/>
      <c r="F35" s="39">
        <f t="shared" si="2"/>
        <v>0</v>
      </c>
      <c r="G35" s="24"/>
      <c r="H35" s="40"/>
      <c r="I35" s="40"/>
      <c r="J35" s="40"/>
      <c r="K35" s="40"/>
      <c r="L35" s="40"/>
      <c r="M35" s="40"/>
      <c r="N35" s="40"/>
      <c r="O35" s="2"/>
      <c r="P35" s="2"/>
      <c r="Q35" s="2"/>
      <c r="R35" s="2"/>
      <c r="S35" s="2"/>
      <c r="T35" s="2"/>
      <c r="U35" s="2"/>
      <c r="V35" s="2"/>
      <c r="W35" s="2"/>
      <c r="X35" s="2"/>
      <c r="Y35" s="2"/>
      <c r="Z35" s="2"/>
    </row>
    <row r="36" spans="1:26" ht="12.75" customHeight="1" x14ac:dyDescent="0.25">
      <c r="A36" s="38" t="s">
        <v>81</v>
      </c>
      <c r="B36" s="39">
        <v>89301.28999999979</v>
      </c>
      <c r="C36" s="28"/>
      <c r="D36" s="39">
        <f>SUMIFS(Data!N:N,Data!A:A,Data!$A$4,Data!C:C,'Projected YE Balances'!A36)-SUMIFS(Data!N:N,Data!A:A,Data!$A$49,Data!C:C,'Projected YE Balances'!A36)</f>
        <v>-43403.246665999992</v>
      </c>
      <c r="E36" s="28"/>
      <c r="F36" s="39">
        <f t="shared" si="2"/>
        <v>45898.043333999798</v>
      </c>
      <c r="G36" s="24"/>
      <c r="H36" s="40"/>
      <c r="I36" s="40"/>
      <c r="J36" s="40"/>
      <c r="K36" s="40"/>
      <c r="L36" s="40"/>
      <c r="M36" s="40"/>
      <c r="N36" s="40"/>
      <c r="O36" s="2"/>
      <c r="P36" s="2"/>
      <c r="Q36" s="2"/>
      <c r="R36" s="2"/>
      <c r="S36" s="2"/>
      <c r="T36" s="2"/>
      <c r="U36" s="2"/>
      <c r="V36" s="2"/>
      <c r="W36" s="2"/>
      <c r="X36" s="2"/>
      <c r="Y36" s="2"/>
      <c r="Z36" s="2"/>
    </row>
    <row r="37" spans="1:26" ht="12.75" customHeight="1" x14ac:dyDescent="0.25">
      <c r="A37" s="38" t="s">
        <v>82</v>
      </c>
      <c r="B37" s="39">
        <v>2740.9699999999966</v>
      </c>
      <c r="C37" s="28"/>
      <c r="D37" s="39">
        <f>SUMIFS(Data!N:N,Data!A:A,Data!$A$4,Data!C:C,'Projected YE Balances'!A37)-SUMIFS(Data!N:N,Data!A:A,Data!$A$49,Data!C:C,'Projected YE Balances'!A37)</f>
        <v>1000.3033330000035</v>
      </c>
      <c r="E37" s="28"/>
      <c r="F37" s="39">
        <f t="shared" si="2"/>
        <v>3741.2733330000001</v>
      </c>
      <c r="G37" s="24"/>
      <c r="H37" s="40"/>
      <c r="I37" s="40"/>
      <c r="J37" s="40"/>
      <c r="K37" s="40"/>
      <c r="L37" s="40"/>
      <c r="M37" s="40"/>
      <c r="N37" s="40"/>
      <c r="O37" s="2"/>
      <c r="P37" s="2"/>
      <c r="Q37" s="2"/>
      <c r="R37" s="2"/>
      <c r="S37" s="2"/>
      <c r="T37" s="2"/>
      <c r="U37" s="2"/>
      <c r="V37" s="2"/>
      <c r="W37" s="2"/>
      <c r="X37" s="2"/>
      <c r="Y37" s="2"/>
      <c r="Z37" s="2"/>
    </row>
    <row r="38" spans="1:26" ht="12.75" customHeight="1" x14ac:dyDescent="0.25">
      <c r="A38" s="38" t="s">
        <v>83</v>
      </c>
      <c r="B38" s="39">
        <v>721655.06</v>
      </c>
      <c r="C38" s="28"/>
      <c r="D38" s="39">
        <f>SUMIFS(Data!N:N,Data!A:A,Data!$A$4,Data!C:C,'Projected YE Balances'!A38)-SUMIFS(Data!N:N,Data!A:A,Data!$A$49,Data!C:C,'Projected YE Balances'!A38)</f>
        <v>-23320.033331999999</v>
      </c>
      <c r="E38" s="28"/>
      <c r="F38" s="39">
        <f t="shared" si="2"/>
        <v>698335.02666800003</v>
      </c>
      <c r="G38" s="24"/>
      <c r="H38" s="40"/>
      <c r="I38" s="40"/>
      <c r="J38" s="40"/>
      <c r="K38" s="40"/>
      <c r="L38" s="40"/>
      <c r="M38" s="40"/>
      <c r="N38" s="40"/>
      <c r="O38" s="2"/>
      <c r="P38" s="2"/>
      <c r="Q38" s="2"/>
      <c r="R38" s="2"/>
      <c r="S38" s="2"/>
      <c r="T38" s="2"/>
      <c r="U38" s="2"/>
      <c r="V38" s="2"/>
      <c r="W38" s="2"/>
      <c r="X38" s="2"/>
      <c r="Y38" s="2"/>
      <c r="Z38" s="2"/>
    </row>
    <row r="39" spans="1:26" ht="12.75" customHeight="1" x14ac:dyDescent="0.25">
      <c r="A39" s="33" t="s">
        <v>15</v>
      </c>
      <c r="B39" s="34">
        <f>SUM(B40:B42)</f>
        <v>104642.07000000004</v>
      </c>
      <c r="C39" s="35"/>
      <c r="D39" s="34">
        <f>SUM(D40:D42)</f>
        <v>12919.230001999997</v>
      </c>
      <c r="E39" s="35"/>
      <c r="F39" s="34">
        <f>SUM(F40:F42)</f>
        <v>117561.30000200003</v>
      </c>
      <c r="G39" s="24"/>
      <c r="H39" s="40"/>
      <c r="I39" s="40"/>
      <c r="J39" s="40"/>
      <c r="K39" s="40"/>
      <c r="L39" s="39">
        <f>F39</f>
        <v>117561.30000200003</v>
      </c>
      <c r="M39" s="40"/>
      <c r="N39" s="40"/>
      <c r="O39" s="2"/>
      <c r="P39" s="2"/>
      <c r="Q39" s="2"/>
      <c r="R39" s="2"/>
      <c r="S39" s="2"/>
      <c r="T39" s="2"/>
      <c r="U39" s="2"/>
      <c r="V39" s="2"/>
      <c r="W39" s="2"/>
      <c r="X39" s="2"/>
      <c r="Y39" s="2"/>
      <c r="Z39" s="2"/>
    </row>
    <row r="40" spans="1:26" ht="12.75" customHeight="1" x14ac:dyDescent="0.25">
      <c r="A40" s="38" t="s">
        <v>84</v>
      </c>
      <c r="B40" s="39">
        <v>-57677.969999999972</v>
      </c>
      <c r="C40" s="28"/>
      <c r="D40" s="39">
        <f>SUMIFS(Data!N:N,Data!A:A,Data!$A$4,Data!C:C,'Projected YE Balances'!A40)-SUMIFS(Data!N:N,Data!A:A,Data!$A$49,Data!C:C,'Projected YE Balances'!A40)</f>
        <v>154.10666799999308</v>
      </c>
      <c r="E40" s="28"/>
      <c r="F40" s="39">
        <f t="shared" ref="F40:F42" si="3">B40+D40</f>
        <v>-57523.863331999979</v>
      </c>
      <c r="G40" s="24"/>
      <c r="H40" s="40"/>
      <c r="I40" s="40"/>
      <c r="J40" s="40"/>
      <c r="K40" s="40"/>
      <c r="L40" s="40"/>
      <c r="M40" s="40"/>
      <c r="N40" s="40"/>
      <c r="O40" s="2"/>
      <c r="P40" s="2"/>
      <c r="Q40" s="2"/>
      <c r="R40" s="2"/>
      <c r="S40" s="2"/>
      <c r="T40" s="2"/>
      <c r="U40" s="2"/>
      <c r="V40" s="2"/>
      <c r="W40" s="2"/>
      <c r="X40" s="2"/>
      <c r="Y40" s="2"/>
      <c r="Z40" s="2"/>
    </row>
    <row r="41" spans="1:26" ht="12.75" customHeight="1" x14ac:dyDescent="0.25">
      <c r="A41" s="38" t="s">
        <v>85</v>
      </c>
      <c r="B41" s="39">
        <v>472.1000000000131</v>
      </c>
      <c r="C41" s="28"/>
      <c r="D41" s="39">
        <f>SUMIFS(Data!N:N,Data!A:A,Data!$A$4,Data!C:C,'Projected YE Balances'!A41)-SUMIFS(Data!N:N,Data!A:A,Data!$A$49,Data!C:C,'Projected YE Balances'!A41)</f>
        <v>12001.616666999995</v>
      </c>
      <c r="E41" s="28"/>
      <c r="F41" s="39">
        <f t="shared" si="3"/>
        <v>12473.716667000008</v>
      </c>
      <c r="G41" s="24"/>
      <c r="H41" s="40"/>
      <c r="I41" s="40"/>
      <c r="J41" s="40"/>
      <c r="K41" s="40"/>
      <c r="L41" s="40"/>
      <c r="M41" s="40"/>
      <c r="N41" s="40"/>
      <c r="O41" s="2"/>
      <c r="P41" s="2"/>
      <c r="Q41" s="2"/>
      <c r="R41" s="2"/>
      <c r="S41" s="2"/>
      <c r="T41" s="2"/>
      <c r="U41" s="2"/>
      <c r="V41" s="2"/>
      <c r="W41" s="2"/>
      <c r="X41" s="2"/>
      <c r="Y41" s="2"/>
      <c r="Z41" s="2"/>
    </row>
    <row r="42" spans="1:26" ht="12.75" customHeight="1" x14ac:dyDescent="0.25">
      <c r="A42" s="38" t="s">
        <v>86</v>
      </c>
      <c r="B42" s="39">
        <v>161847.94</v>
      </c>
      <c r="C42" s="28"/>
      <c r="D42" s="39">
        <f>SUMIFS(Data!N:N,Data!A:A,Data!$A$4,Data!C:C,'Projected YE Balances'!A42)-SUMIFS(Data!N:N,Data!A:A,Data!$A$49,Data!C:C,'Projected YE Balances'!A42)</f>
        <v>763.50666700000875</v>
      </c>
      <c r="E42" s="28"/>
      <c r="F42" s="39">
        <f t="shared" si="3"/>
        <v>162611.44666700001</v>
      </c>
      <c r="G42" s="24"/>
      <c r="H42" s="40"/>
      <c r="I42" s="40"/>
      <c r="J42" s="40"/>
      <c r="K42" s="40"/>
      <c r="L42" s="40"/>
      <c r="M42" s="40"/>
      <c r="N42" s="40"/>
      <c r="O42" s="2"/>
      <c r="P42" s="2"/>
      <c r="Q42" s="2"/>
      <c r="R42" s="2"/>
      <c r="S42" s="2"/>
      <c r="T42" s="2"/>
      <c r="U42" s="2"/>
      <c r="V42" s="2"/>
      <c r="W42" s="2"/>
      <c r="X42" s="2"/>
      <c r="Y42" s="2"/>
      <c r="Z42" s="2"/>
    </row>
    <row r="43" spans="1:26" ht="12.75" customHeight="1" x14ac:dyDescent="0.25">
      <c r="A43" s="33" t="s">
        <v>87</v>
      </c>
      <c r="B43" s="34">
        <f>B44</f>
        <v>8492866.8600000031</v>
      </c>
      <c r="C43" s="35"/>
      <c r="D43" s="34">
        <f>D44</f>
        <v>1569225.716666</v>
      </c>
      <c r="E43" s="35"/>
      <c r="F43" s="34">
        <f>F44</f>
        <v>10062092.576666003</v>
      </c>
      <c r="G43" s="24"/>
      <c r="H43" s="40"/>
      <c r="I43" s="40"/>
      <c r="J43" s="40"/>
      <c r="K43" s="39">
        <f>F43</f>
        <v>10062092.576666003</v>
      </c>
      <c r="L43" s="40"/>
      <c r="M43" s="40"/>
      <c r="N43" s="40"/>
      <c r="O43" s="2"/>
      <c r="P43" s="2"/>
      <c r="Q43" s="2"/>
      <c r="R43" s="2"/>
      <c r="S43" s="2"/>
      <c r="T43" s="2"/>
      <c r="U43" s="2"/>
      <c r="V43" s="2"/>
      <c r="W43" s="2"/>
      <c r="X43" s="2"/>
      <c r="Y43" s="2"/>
      <c r="Z43" s="2"/>
    </row>
    <row r="44" spans="1:26" ht="12.75" customHeight="1" x14ac:dyDescent="0.25">
      <c r="A44" s="38" t="s">
        <v>88</v>
      </c>
      <c r="B44" s="39">
        <v>8492866.8600000031</v>
      </c>
      <c r="C44" s="28"/>
      <c r="D44" s="39">
        <f>SUMIFS(Data!N:N,Data!A:A,Data!$A$4,Data!C:C,'Projected YE Balances'!A44)-SUMIFS(Data!N:N,Data!A:A,Data!$A$49,Data!C:C,'Projected YE Balances'!A44)</f>
        <v>1569225.716666</v>
      </c>
      <c r="E44" s="28"/>
      <c r="F44" s="39">
        <f>B44+D44</f>
        <v>10062092.576666003</v>
      </c>
      <c r="G44" s="24"/>
      <c r="H44" s="40"/>
      <c r="I44" s="40"/>
      <c r="J44" s="40"/>
      <c r="K44" s="40"/>
      <c r="L44" s="40"/>
      <c r="M44" s="40"/>
      <c r="N44" s="40"/>
      <c r="O44" s="2"/>
      <c r="P44" s="2"/>
      <c r="Q44" s="2"/>
      <c r="R44" s="2"/>
      <c r="S44" s="2"/>
      <c r="T44" s="2"/>
      <c r="U44" s="2"/>
      <c r="V44" s="2"/>
      <c r="W44" s="2"/>
      <c r="X44" s="2"/>
      <c r="Y44" s="2"/>
      <c r="Z44" s="2"/>
    </row>
    <row r="45" spans="1:26" ht="12.75" customHeight="1" x14ac:dyDescent="0.25">
      <c r="A45" s="33" t="s">
        <v>89</v>
      </c>
      <c r="B45" s="34">
        <f>B46</f>
        <v>348940.8200000003</v>
      </c>
      <c r="C45" s="35"/>
      <c r="D45" s="34">
        <f>D46</f>
        <v>226382.80333499983</v>
      </c>
      <c r="E45" s="35"/>
      <c r="F45" s="34">
        <f>F46</f>
        <v>575323.62333500013</v>
      </c>
      <c r="G45" s="24"/>
      <c r="H45" s="40"/>
      <c r="I45" s="40"/>
      <c r="J45" s="40"/>
      <c r="K45" s="40"/>
      <c r="L45" s="39">
        <f>F45</f>
        <v>575323.62333500013</v>
      </c>
      <c r="M45" s="40"/>
      <c r="N45" s="40"/>
      <c r="O45" s="2"/>
      <c r="P45" s="2"/>
      <c r="Q45" s="2"/>
      <c r="R45" s="2"/>
      <c r="S45" s="2"/>
      <c r="T45" s="2"/>
      <c r="U45" s="2"/>
      <c r="V45" s="2"/>
      <c r="W45" s="2"/>
      <c r="X45" s="2"/>
      <c r="Y45" s="2"/>
      <c r="Z45" s="2"/>
    </row>
    <row r="46" spans="1:26" ht="12.75" customHeight="1" x14ac:dyDescent="0.25">
      <c r="A46" s="38" t="s">
        <v>90</v>
      </c>
      <c r="B46" s="39">
        <v>348940.8200000003</v>
      </c>
      <c r="C46" s="28"/>
      <c r="D46" s="39">
        <f>SUMIFS(Data!N:N,Data!A:A,Data!$A$4,Data!C:C,'Projected YE Balances'!A46)-SUMIFS(Data!N:N,Data!A:A,Data!$A$49,Data!C:C,'Projected YE Balances'!A46)</f>
        <v>226382.80333499983</v>
      </c>
      <c r="E46" s="28"/>
      <c r="F46" s="39">
        <f>B46+D46</f>
        <v>575323.62333500013</v>
      </c>
      <c r="G46" s="24"/>
      <c r="H46" s="40"/>
      <c r="I46" s="40"/>
      <c r="J46" s="40"/>
      <c r="K46" s="40"/>
      <c r="L46" s="40"/>
      <c r="M46" s="40"/>
      <c r="N46" s="40"/>
      <c r="O46" s="2"/>
      <c r="P46" s="2"/>
      <c r="Q46" s="2"/>
      <c r="R46" s="2"/>
      <c r="S46" s="2"/>
      <c r="T46" s="2"/>
      <c r="U46" s="2"/>
      <c r="V46" s="2"/>
      <c r="W46" s="2"/>
      <c r="X46" s="2"/>
      <c r="Y46" s="2"/>
      <c r="Z46" s="2"/>
    </row>
    <row r="47" spans="1:26" ht="12.75" customHeight="1" x14ac:dyDescent="0.25">
      <c r="A47" s="33" t="s">
        <v>91</v>
      </c>
      <c r="B47" s="34">
        <f>SUM(B48:B49)</f>
        <v>2733785.7899999991</v>
      </c>
      <c r="C47" s="35"/>
      <c r="D47" s="34">
        <f>SUM(D48:D49)</f>
        <v>-426399.48666399973</v>
      </c>
      <c r="E47" s="35"/>
      <c r="F47" s="34">
        <f>SUM(F48:F49)</f>
        <v>2307386.3033359996</v>
      </c>
      <c r="G47" s="24"/>
      <c r="H47" s="40"/>
      <c r="I47" s="40"/>
      <c r="J47" s="40"/>
      <c r="K47" s="40"/>
      <c r="L47" s="39">
        <f>F47</f>
        <v>2307386.3033359996</v>
      </c>
      <c r="M47" s="40"/>
      <c r="N47" s="40"/>
      <c r="O47" s="2"/>
      <c r="P47" s="2"/>
      <c r="Q47" s="2"/>
      <c r="R47" s="2"/>
      <c r="S47" s="2"/>
      <c r="T47" s="2"/>
      <c r="U47" s="2"/>
      <c r="V47" s="2"/>
      <c r="W47" s="2"/>
      <c r="X47" s="2"/>
      <c r="Y47" s="2"/>
      <c r="Z47" s="2"/>
    </row>
    <row r="48" spans="1:26" ht="12.75" customHeight="1" x14ac:dyDescent="0.25">
      <c r="A48" s="38" t="s">
        <v>92</v>
      </c>
      <c r="B48" s="39">
        <v>1415796.7699999996</v>
      </c>
      <c r="C48" s="28"/>
      <c r="D48" s="39">
        <f>SUMIFS(Data!N:N,Data!A:A,Data!$A$4,Data!C:C,'Projected YE Balances'!A48)-SUMIFS(Data!N:N,Data!A:A,Data!$A$49,Data!C:C,'Projected YE Balances'!A48)</f>
        <v>-669542.20333299972</v>
      </c>
      <c r="E48" s="28"/>
      <c r="F48" s="39">
        <f t="shared" ref="F48:F49" si="4">B48+D48</f>
        <v>746254.56666699983</v>
      </c>
      <c r="G48" s="24"/>
      <c r="H48" s="40"/>
      <c r="I48" s="40"/>
      <c r="J48" s="40"/>
      <c r="K48" s="40"/>
      <c r="L48" s="40"/>
      <c r="M48" s="40"/>
      <c r="N48" s="40"/>
      <c r="O48" s="2"/>
      <c r="P48" s="2"/>
      <c r="Q48" s="2"/>
      <c r="R48" s="2"/>
      <c r="S48" s="2"/>
      <c r="T48" s="2"/>
      <c r="U48" s="2"/>
      <c r="V48" s="2"/>
      <c r="W48" s="2"/>
      <c r="X48" s="2"/>
      <c r="Y48" s="2"/>
      <c r="Z48" s="2"/>
    </row>
    <row r="49" spans="1:26" ht="12.75" customHeight="1" x14ac:dyDescent="0.25">
      <c r="A49" s="38" t="s">
        <v>93</v>
      </c>
      <c r="B49" s="39">
        <v>1317989.0199999998</v>
      </c>
      <c r="C49" s="28"/>
      <c r="D49" s="39">
        <f>SUMIFS(Data!N:N,Data!A:A,Data!$A$4,Data!C:C,'Projected YE Balances'!A49)-SUMIFS(Data!N:N,Data!A:A,Data!$A$49,Data!C:C,'Projected YE Balances'!A49)</f>
        <v>243142.71666899999</v>
      </c>
      <c r="E49" s="28"/>
      <c r="F49" s="39">
        <f t="shared" si="4"/>
        <v>1561131.7366689998</v>
      </c>
      <c r="G49" s="24"/>
      <c r="H49" s="40"/>
      <c r="I49" s="40"/>
      <c r="J49" s="40"/>
      <c r="K49" s="40"/>
      <c r="L49" s="40"/>
      <c r="M49" s="40"/>
      <c r="N49" s="40"/>
      <c r="O49" s="2"/>
      <c r="P49" s="2"/>
      <c r="Q49" s="2"/>
      <c r="R49" s="2"/>
      <c r="S49" s="2"/>
      <c r="T49" s="2"/>
      <c r="U49" s="2"/>
      <c r="V49" s="2"/>
      <c r="W49" s="2"/>
      <c r="X49" s="2"/>
      <c r="Y49" s="2"/>
      <c r="Z49" s="2"/>
    </row>
    <row r="50" spans="1:26" ht="12.75" customHeight="1" x14ac:dyDescent="0.25">
      <c r="A50" s="33" t="s">
        <v>94</v>
      </c>
      <c r="B50" s="34">
        <f>B51</f>
        <v>99711.039999999979</v>
      </c>
      <c r="C50" s="35"/>
      <c r="D50" s="34">
        <f>D51</f>
        <v>348498.81333300006</v>
      </c>
      <c r="E50" s="35"/>
      <c r="F50" s="34">
        <f>F51</f>
        <v>448209.85333300004</v>
      </c>
      <c r="G50" s="24"/>
      <c r="H50" s="40"/>
      <c r="I50" s="40"/>
      <c r="J50" s="40"/>
      <c r="K50" s="40"/>
      <c r="L50" s="39">
        <f>F50</f>
        <v>448209.85333300004</v>
      </c>
      <c r="M50" s="40"/>
      <c r="N50" s="40"/>
      <c r="O50" s="2"/>
      <c r="P50" s="2"/>
      <c r="Q50" s="2"/>
      <c r="R50" s="2"/>
      <c r="S50" s="2"/>
      <c r="T50" s="2"/>
      <c r="U50" s="2"/>
      <c r="V50" s="2"/>
      <c r="W50" s="2"/>
      <c r="X50" s="2"/>
      <c r="Y50" s="2"/>
      <c r="Z50" s="2"/>
    </row>
    <row r="51" spans="1:26" ht="12.75" customHeight="1" x14ac:dyDescent="0.25">
      <c r="A51" s="38" t="s">
        <v>95</v>
      </c>
      <c r="B51" s="39">
        <v>99711.039999999979</v>
      </c>
      <c r="C51" s="28"/>
      <c r="D51" s="39">
        <f>SUMIFS(Data!N:N,Data!A:A,Data!$A$4,Data!C:C,'Projected YE Balances'!A51)-SUMIFS(Data!N:N,Data!A:A,Data!$A$49,Data!C:C,'Projected YE Balances'!A51)</f>
        <v>348498.81333300006</v>
      </c>
      <c r="E51" s="28"/>
      <c r="F51" s="39">
        <f>B51+D51</f>
        <v>448209.85333300004</v>
      </c>
      <c r="G51" s="24"/>
      <c r="H51" s="40"/>
      <c r="I51" s="40"/>
      <c r="J51" s="40"/>
      <c r="K51" s="40"/>
      <c r="L51" s="40"/>
      <c r="M51" s="40"/>
      <c r="N51" s="40"/>
      <c r="O51" s="2"/>
      <c r="P51" s="2"/>
      <c r="Q51" s="2"/>
      <c r="R51" s="2"/>
      <c r="S51" s="2"/>
      <c r="T51" s="2"/>
      <c r="U51" s="2"/>
      <c r="V51" s="2"/>
      <c r="W51" s="2"/>
      <c r="X51" s="2"/>
      <c r="Y51" s="2"/>
      <c r="Z51" s="2"/>
    </row>
    <row r="52" spans="1:26" ht="12.75" customHeight="1" x14ac:dyDescent="0.25">
      <c r="A52" s="33" t="s">
        <v>96</v>
      </c>
      <c r="B52" s="34">
        <f>B53</f>
        <v>1623984.2000000142</v>
      </c>
      <c r="C52" s="35"/>
      <c r="D52" s="34">
        <f>D53</f>
        <v>-704579.39333200082</v>
      </c>
      <c r="E52" s="35"/>
      <c r="F52" s="34">
        <f>F53</f>
        <v>919404.80666801333</v>
      </c>
      <c r="G52" s="24"/>
      <c r="H52" s="40"/>
      <c r="I52" s="40"/>
      <c r="J52" s="40"/>
      <c r="K52" s="40"/>
      <c r="L52" s="39">
        <f>F52</f>
        <v>919404.80666801333</v>
      </c>
      <c r="M52" s="40"/>
      <c r="N52" s="40"/>
      <c r="O52" s="2"/>
      <c r="P52" s="2"/>
      <c r="Q52" s="2"/>
      <c r="R52" s="2"/>
      <c r="S52" s="2"/>
      <c r="T52" s="2"/>
      <c r="U52" s="2"/>
      <c r="V52" s="2"/>
      <c r="W52" s="2"/>
      <c r="X52" s="2"/>
      <c r="Y52" s="2"/>
      <c r="Z52" s="2"/>
    </row>
    <row r="53" spans="1:26" ht="12.75" customHeight="1" x14ac:dyDescent="0.25">
      <c r="A53" s="38" t="s">
        <v>97</v>
      </c>
      <c r="B53" s="39">
        <v>1623984.2000000142</v>
      </c>
      <c r="C53" s="28"/>
      <c r="D53" s="39">
        <f>SUMIFS(Data!N:N,Data!A:A,Data!$A$4,Data!C:C,'Projected YE Balances'!A53)-SUMIFS(Data!N:N,Data!A:A,Data!$A$49,Data!C:C,'Projected YE Balances'!A53)</f>
        <v>-704579.39333200082</v>
      </c>
      <c r="E53" s="28"/>
      <c r="F53" s="39">
        <f>B53+D53</f>
        <v>919404.80666801333</v>
      </c>
      <c r="G53" s="24"/>
      <c r="H53" s="40"/>
      <c r="I53" s="40"/>
      <c r="J53" s="40"/>
      <c r="K53" s="40"/>
      <c r="L53" s="40"/>
      <c r="M53" s="40"/>
      <c r="N53" s="40"/>
      <c r="O53" s="2"/>
      <c r="P53" s="2"/>
      <c r="Q53" s="2"/>
      <c r="R53" s="2"/>
      <c r="S53" s="2"/>
      <c r="T53" s="2"/>
      <c r="U53" s="2"/>
      <c r="V53" s="2"/>
      <c r="W53" s="2"/>
      <c r="X53" s="2"/>
      <c r="Y53" s="2"/>
      <c r="Z53" s="2"/>
    </row>
    <row r="54" spans="1:26" ht="12.75" customHeight="1" x14ac:dyDescent="0.25">
      <c r="A54" s="33" t="s">
        <v>98</v>
      </c>
      <c r="B54" s="34">
        <f>B55</f>
        <v>495944.86</v>
      </c>
      <c r="C54" s="35"/>
      <c r="D54" s="34">
        <f>D55</f>
        <v>-41023.339999000018</v>
      </c>
      <c r="E54" s="35"/>
      <c r="F54" s="34">
        <f>F55</f>
        <v>454921.52000099997</v>
      </c>
      <c r="G54" s="24"/>
      <c r="H54" s="40"/>
      <c r="I54" s="40"/>
      <c r="J54" s="40"/>
      <c r="K54" s="40"/>
      <c r="L54" s="40"/>
      <c r="M54" s="40"/>
      <c r="N54" s="39">
        <f>F54</f>
        <v>454921.52000099997</v>
      </c>
      <c r="O54" s="23" t="s">
        <v>99</v>
      </c>
      <c r="P54" s="2"/>
      <c r="Q54" s="2"/>
      <c r="R54" s="2"/>
      <c r="S54" s="2"/>
      <c r="T54" s="2"/>
      <c r="U54" s="2"/>
      <c r="V54" s="2"/>
      <c r="W54" s="2"/>
      <c r="X54" s="2"/>
      <c r="Y54" s="2"/>
      <c r="Z54" s="2"/>
    </row>
    <row r="55" spans="1:26" ht="12.75" customHeight="1" x14ac:dyDescent="0.25">
      <c r="A55" s="38" t="s">
        <v>100</v>
      </c>
      <c r="B55" s="39">
        <v>495944.86</v>
      </c>
      <c r="C55" s="28"/>
      <c r="D55" s="39">
        <f>SUMIFS(Data!N:N,Data!A:A,Data!$A$4,Data!C:C,'Projected YE Balances'!A55)-SUMIFS(Data!N:N,Data!A:A,Data!$A$49,Data!C:C,'Projected YE Balances'!A55)</f>
        <v>-41023.339999000018</v>
      </c>
      <c r="E55" s="28"/>
      <c r="F55" s="39">
        <f>B55+D55</f>
        <v>454921.52000099997</v>
      </c>
      <c r="G55" s="24"/>
      <c r="H55" s="40"/>
      <c r="I55" s="40"/>
      <c r="J55" s="40"/>
      <c r="K55" s="40"/>
      <c r="L55" s="40"/>
      <c r="M55" s="40"/>
      <c r="N55" s="40"/>
      <c r="O55" s="2"/>
      <c r="P55" s="2"/>
      <c r="Q55" s="2"/>
      <c r="R55" s="2"/>
      <c r="S55" s="2"/>
      <c r="T55" s="2"/>
      <c r="U55" s="2"/>
      <c r="V55" s="2"/>
      <c r="W55" s="2"/>
      <c r="X55" s="2"/>
      <c r="Y55" s="2"/>
      <c r="Z55" s="2"/>
    </row>
    <row r="56" spans="1:26" ht="12.75" customHeight="1" x14ac:dyDescent="0.25">
      <c r="A56" s="33" t="s">
        <v>101</v>
      </c>
      <c r="B56" s="34">
        <f>B57</f>
        <v>185263.55999999994</v>
      </c>
      <c r="C56" s="35"/>
      <c r="D56" s="34">
        <f>D57</f>
        <v>23311.346666999991</v>
      </c>
      <c r="E56" s="35"/>
      <c r="F56" s="34">
        <f>F57</f>
        <v>208574.90666699992</v>
      </c>
      <c r="G56" s="24"/>
      <c r="H56" s="40"/>
      <c r="I56" s="40"/>
      <c r="J56" s="40"/>
      <c r="K56" s="40"/>
      <c r="L56" s="40"/>
      <c r="M56" s="40"/>
      <c r="N56" s="39">
        <f>F56</f>
        <v>208574.90666699992</v>
      </c>
      <c r="O56" s="2"/>
      <c r="P56" s="2"/>
      <c r="Q56" s="2"/>
      <c r="R56" s="2"/>
      <c r="S56" s="2"/>
      <c r="T56" s="2"/>
      <c r="U56" s="2"/>
      <c r="V56" s="2"/>
      <c r="W56" s="2"/>
      <c r="X56" s="2"/>
      <c r="Y56" s="2"/>
      <c r="Z56" s="2"/>
    </row>
    <row r="57" spans="1:26" ht="12.75" customHeight="1" x14ac:dyDescent="0.25">
      <c r="A57" s="38" t="s">
        <v>102</v>
      </c>
      <c r="B57" s="39">
        <v>185263.55999999994</v>
      </c>
      <c r="C57" s="28"/>
      <c r="D57" s="39">
        <f>SUMIFS(Data!N:N,Data!A:A,Data!$A$4,Data!C:C,'Projected YE Balances'!A57)-SUMIFS(Data!N:N,Data!A:A,Data!$A$49,Data!C:C,'Projected YE Balances'!A57)</f>
        <v>23311.346666999991</v>
      </c>
      <c r="E57" s="28"/>
      <c r="F57" s="39">
        <f>B57+D57</f>
        <v>208574.90666699992</v>
      </c>
      <c r="G57" s="24"/>
      <c r="H57" s="40"/>
      <c r="I57" s="40"/>
      <c r="J57" s="40"/>
      <c r="K57" s="40"/>
      <c r="L57" s="40"/>
      <c r="M57" s="40"/>
      <c r="N57" s="40"/>
      <c r="O57" s="2"/>
      <c r="P57" s="2"/>
      <c r="Q57" s="2"/>
      <c r="R57" s="2"/>
      <c r="S57" s="2"/>
      <c r="T57" s="2"/>
      <c r="U57" s="2"/>
      <c r="V57" s="2"/>
      <c r="W57" s="2"/>
      <c r="X57" s="2"/>
      <c r="Y57" s="2"/>
      <c r="Z57" s="2"/>
    </row>
    <row r="58" spans="1:26" ht="12.75" customHeight="1" x14ac:dyDescent="0.25">
      <c r="A58" s="33" t="s">
        <v>103</v>
      </c>
      <c r="B58" s="34">
        <f>B59</f>
        <v>1095365.3500000001</v>
      </c>
      <c r="C58" s="35"/>
      <c r="D58" s="34">
        <f>D59</f>
        <v>12393.880000000005</v>
      </c>
      <c r="E58" s="35"/>
      <c r="F58" s="34">
        <f>F59</f>
        <v>1107759.23</v>
      </c>
      <c r="G58" s="24"/>
      <c r="H58" s="40"/>
      <c r="I58" s="40"/>
      <c r="J58" s="40"/>
      <c r="K58" s="40"/>
      <c r="L58" s="40"/>
      <c r="M58" s="40"/>
      <c r="N58" s="39">
        <f>F58</f>
        <v>1107759.23</v>
      </c>
      <c r="O58" s="2"/>
      <c r="P58" s="2"/>
      <c r="Q58" s="2"/>
      <c r="R58" s="2"/>
      <c r="S58" s="2"/>
      <c r="T58" s="2"/>
      <c r="U58" s="2"/>
      <c r="V58" s="2"/>
      <c r="W58" s="2"/>
      <c r="X58" s="2"/>
      <c r="Y58" s="2"/>
      <c r="Z58" s="2"/>
    </row>
    <row r="59" spans="1:26" ht="12.75" customHeight="1" x14ac:dyDescent="0.25">
      <c r="A59" s="38" t="s">
        <v>104</v>
      </c>
      <c r="B59" s="39">
        <v>1095365.3500000001</v>
      </c>
      <c r="C59" s="28"/>
      <c r="D59" s="39">
        <f>SUMIFS(Data!N:N,Data!A:A,Data!$A$4,Data!C:C,'Projected YE Balances'!A59)-SUMIFS(Data!N:N,Data!A:A,Data!$A$49,Data!C:C,'Projected YE Balances'!A59)</f>
        <v>12393.880000000005</v>
      </c>
      <c r="E59" s="28"/>
      <c r="F59" s="39">
        <f>B59+D59</f>
        <v>1107759.23</v>
      </c>
      <c r="G59" s="24"/>
      <c r="H59" s="40"/>
      <c r="I59" s="40"/>
      <c r="J59" s="40"/>
      <c r="K59" s="40"/>
      <c r="L59" s="40"/>
      <c r="M59" s="40"/>
      <c r="N59" s="40"/>
      <c r="O59" s="2"/>
      <c r="P59" s="2"/>
      <c r="Q59" s="2"/>
      <c r="R59" s="2"/>
      <c r="S59" s="2"/>
      <c r="T59" s="2"/>
      <c r="U59" s="2"/>
      <c r="V59" s="2"/>
      <c r="W59" s="2"/>
      <c r="X59" s="2"/>
      <c r="Y59" s="2"/>
      <c r="Z59" s="2"/>
    </row>
    <row r="60" spans="1:26" ht="12.75" customHeight="1" x14ac:dyDescent="0.25">
      <c r="A60" s="33" t="s">
        <v>105</v>
      </c>
      <c r="B60" s="34">
        <f>SUM(B61:B66)</f>
        <v>743289.26</v>
      </c>
      <c r="C60" s="35"/>
      <c r="D60" s="34">
        <f>SUM(D61:D66)</f>
        <v>57569.776668000035</v>
      </c>
      <c r="E60" s="35"/>
      <c r="F60" s="34">
        <f>SUM(F61:F66)</f>
        <v>800859.03666800016</v>
      </c>
      <c r="G60" s="24"/>
      <c r="H60" s="40"/>
      <c r="I60" s="40"/>
      <c r="J60" s="40"/>
      <c r="K60" s="40"/>
      <c r="L60" s="40"/>
      <c r="M60" s="40"/>
      <c r="N60" s="39">
        <f>F60</f>
        <v>800859.03666800016</v>
      </c>
      <c r="O60" s="2"/>
      <c r="P60" s="2"/>
      <c r="Q60" s="2"/>
      <c r="R60" s="2"/>
      <c r="S60" s="2"/>
      <c r="T60" s="2"/>
      <c r="U60" s="2"/>
      <c r="V60" s="2"/>
      <c r="W60" s="2"/>
      <c r="X60" s="2"/>
      <c r="Y60" s="2"/>
      <c r="Z60" s="2"/>
    </row>
    <row r="61" spans="1:26" ht="12.75" customHeight="1" x14ac:dyDescent="0.25">
      <c r="A61" s="38" t="s">
        <v>106</v>
      </c>
      <c r="B61" s="39">
        <v>184029.09000000003</v>
      </c>
      <c r="C61" s="28"/>
      <c r="D61" s="39">
        <f>SUMIFS(Data!N:N,Data!A:A,Data!$A$4,Data!C:C,'Projected YE Balances'!A61)-SUMIFS(Data!N:N,Data!A:A,Data!$A$49,Data!C:C,'Projected YE Balances'!A61)</f>
        <v>853000</v>
      </c>
      <c r="E61" s="28"/>
      <c r="F61" s="39">
        <f t="shared" ref="F61:F66" si="5">B61+D61</f>
        <v>1037029.0900000001</v>
      </c>
      <c r="G61" s="24"/>
      <c r="H61" s="40"/>
      <c r="I61" s="40"/>
      <c r="J61" s="40"/>
      <c r="K61" s="40"/>
      <c r="L61" s="40"/>
      <c r="M61" s="40"/>
      <c r="N61" s="40"/>
      <c r="O61" s="2"/>
      <c r="P61" s="2"/>
      <c r="Q61" s="2"/>
      <c r="R61" s="2"/>
      <c r="S61" s="2"/>
      <c r="T61" s="2"/>
      <c r="U61" s="2"/>
      <c r="V61" s="2"/>
      <c r="W61" s="2"/>
      <c r="X61" s="2"/>
      <c r="Y61" s="2"/>
      <c r="Z61" s="2"/>
    </row>
    <row r="62" spans="1:26" ht="12.75" customHeight="1" x14ac:dyDescent="0.25">
      <c r="A62" s="38" t="s">
        <v>107</v>
      </c>
      <c r="B62" s="39">
        <v>0</v>
      </c>
      <c r="C62" s="28"/>
      <c r="D62" s="39">
        <f>SUMIFS(Data!N:N,Data!A:A,Data!$A$4,Data!C:C,'Projected YE Balances'!A62)-SUMIFS(Data!N:N,Data!A:A,Data!$A$49,Data!C:C,'Projected YE Balances'!A62)</f>
        <v>-22000</v>
      </c>
      <c r="E62" s="28"/>
      <c r="F62" s="39">
        <f t="shared" si="5"/>
        <v>-22000</v>
      </c>
      <c r="G62" s="24"/>
      <c r="H62" s="40"/>
      <c r="I62" s="40"/>
      <c r="J62" s="40"/>
      <c r="K62" s="40"/>
      <c r="L62" s="40"/>
      <c r="M62" s="40"/>
      <c r="N62" s="40"/>
      <c r="O62" s="2"/>
      <c r="P62" s="2"/>
      <c r="Q62" s="2"/>
      <c r="R62" s="2"/>
      <c r="S62" s="2"/>
      <c r="T62" s="2"/>
      <c r="U62" s="2"/>
      <c r="V62" s="2"/>
      <c r="W62" s="2"/>
      <c r="X62" s="2"/>
      <c r="Y62" s="2"/>
      <c r="Z62" s="2"/>
    </row>
    <row r="63" spans="1:26" ht="12.75" customHeight="1" x14ac:dyDescent="0.25">
      <c r="A63" s="38" t="s">
        <v>108</v>
      </c>
      <c r="B63" s="39">
        <v>200227.1400000001</v>
      </c>
      <c r="C63" s="28"/>
      <c r="D63" s="39">
        <f>SUMIFS(Data!N:N,Data!A:A,Data!$A$4,Data!C:C,'Projected YE Balances'!A63)-SUMIFS(Data!N:N,Data!A:A,Data!$A$49,Data!C:C,'Projected YE Balances'!A63)</f>
        <v>-740607.21</v>
      </c>
      <c r="E63" s="28"/>
      <c r="F63" s="39">
        <f t="shared" si="5"/>
        <v>-540380.06999999983</v>
      </c>
      <c r="G63" s="24"/>
      <c r="H63" s="40"/>
      <c r="I63" s="40"/>
      <c r="J63" s="40"/>
      <c r="K63" s="40"/>
      <c r="L63" s="40"/>
      <c r="M63" s="40"/>
      <c r="N63" s="40"/>
      <c r="O63" s="2"/>
      <c r="P63" s="2"/>
      <c r="Q63" s="2"/>
      <c r="R63" s="2"/>
      <c r="S63" s="2"/>
      <c r="T63" s="2"/>
      <c r="U63" s="2"/>
      <c r="V63" s="2"/>
      <c r="W63" s="2"/>
      <c r="X63" s="2"/>
      <c r="Y63" s="2"/>
      <c r="Z63" s="2"/>
    </row>
    <row r="64" spans="1:26" ht="12.75" customHeight="1" x14ac:dyDescent="0.25">
      <c r="A64" s="38" t="s">
        <v>109</v>
      </c>
      <c r="B64" s="39">
        <v>313769.53999999992</v>
      </c>
      <c r="C64" s="28"/>
      <c r="D64" s="39">
        <f>SUMIFS(Data!N:N,Data!A:A,Data!$A$4,Data!C:C,'Projected YE Balances'!A64)-SUMIFS(Data!N:N,Data!A:A,Data!$A$49,Data!C:C,'Projected YE Balances'!A64)</f>
        <v>5996.0866669999959</v>
      </c>
      <c r="E64" s="28"/>
      <c r="F64" s="39">
        <f t="shared" si="5"/>
        <v>319765.62666699989</v>
      </c>
      <c r="G64" s="24"/>
      <c r="H64" s="40"/>
      <c r="I64" s="40"/>
      <c r="J64" s="40"/>
      <c r="K64" s="40"/>
      <c r="L64" s="40"/>
      <c r="M64" s="40"/>
      <c r="N64" s="40"/>
      <c r="O64" s="2"/>
      <c r="P64" s="2"/>
      <c r="Q64" s="2"/>
      <c r="R64" s="2"/>
      <c r="S64" s="2"/>
      <c r="T64" s="2"/>
      <c r="U64" s="2"/>
      <c r="V64" s="2"/>
      <c r="W64" s="2"/>
      <c r="X64" s="2"/>
      <c r="Y64" s="2"/>
      <c r="Z64" s="2"/>
    </row>
    <row r="65" spans="1:26" ht="12.75" customHeight="1" x14ac:dyDescent="0.25">
      <c r="A65" s="38" t="s">
        <v>110</v>
      </c>
      <c r="B65" s="39">
        <v>43263.49</v>
      </c>
      <c r="C65" s="28"/>
      <c r="D65" s="39">
        <f>SUMIFS(Data!N:N,Data!A:A,Data!$A$4,Data!C:C,'Projected YE Balances'!A65)-SUMIFS(Data!N:N,Data!A:A,Data!$A$49,Data!C:C,'Projected YE Balances'!A65)</f>
        <v>-40819.099998999998</v>
      </c>
      <c r="E65" s="28"/>
      <c r="F65" s="39">
        <f t="shared" si="5"/>
        <v>2444.3900009999998</v>
      </c>
      <c r="G65" s="24"/>
      <c r="H65" s="40"/>
      <c r="I65" s="40"/>
      <c r="J65" s="40"/>
      <c r="K65" s="40"/>
      <c r="L65" s="40"/>
      <c r="M65" s="40"/>
      <c r="N65" s="40"/>
      <c r="O65" s="2"/>
      <c r="P65" s="2"/>
      <c r="Q65" s="2"/>
      <c r="R65" s="2"/>
      <c r="S65" s="2"/>
      <c r="T65" s="2"/>
      <c r="U65" s="2"/>
      <c r="V65" s="2"/>
      <c r="W65" s="2"/>
      <c r="X65" s="2"/>
      <c r="Y65" s="2"/>
      <c r="Z65" s="2"/>
    </row>
    <row r="66" spans="1:26" ht="12.75" customHeight="1" x14ac:dyDescent="0.25">
      <c r="A66" s="38" t="s">
        <v>111</v>
      </c>
      <c r="B66" s="39">
        <v>2000</v>
      </c>
      <c r="C66" s="28"/>
      <c r="D66" s="39">
        <f>SUMIFS(Data!N:N,Data!A:A,Data!$A$4,Data!C:C,'Projected YE Balances'!A66)-SUMIFS(Data!N:N,Data!A:A,Data!$A$49,Data!C:C,'Projected YE Balances'!A66)</f>
        <v>2000</v>
      </c>
      <c r="E66" s="28"/>
      <c r="F66" s="39">
        <f t="shared" si="5"/>
        <v>4000</v>
      </c>
      <c r="G66" s="24"/>
      <c r="H66" s="40"/>
      <c r="I66" s="40"/>
      <c r="J66" s="40"/>
      <c r="K66" s="40"/>
      <c r="L66" s="40"/>
      <c r="M66" s="40"/>
      <c r="N66" s="40"/>
      <c r="O66" s="2"/>
      <c r="P66" s="2"/>
      <c r="Q66" s="2"/>
      <c r="R66" s="2"/>
      <c r="S66" s="2"/>
      <c r="T66" s="2"/>
      <c r="U66" s="2"/>
      <c r="V66" s="2"/>
      <c r="W66" s="2"/>
      <c r="X66" s="2"/>
      <c r="Y66" s="2"/>
      <c r="Z66" s="2"/>
    </row>
    <row r="67" spans="1:26" ht="12.75" customHeight="1" x14ac:dyDescent="0.25">
      <c r="A67" s="33" t="s">
        <v>112</v>
      </c>
      <c r="B67" s="34">
        <f>SUM(B68:B69)</f>
        <v>421342.89000000071</v>
      </c>
      <c r="C67" s="35"/>
      <c r="D67" s="34">
        <f>SUM(D68:D69)</f>
        <v>390501.63000199996</v>
      </c>
      <c r="E67" s="35"/>
      <c r="F67" s="34">
        <f>SUM(F68:F69)</f>
        <v>811844.52000200073</v>
      </c>
      <c r="G67" s="24"/>
      <c r="H67" s="40"/>
      <c r="I67" s="40"/>
      <c r="J67" s="40"/>
      <c r="K67" s="39">
        <f>F67</f>
        <v>811844.52000200073</v>
      </c>
      <c r="L67" s="40"/>
      <c r="M67" s="40"/>
      <c r="N67" s="40"/>
      <c r="O67" s="2"/>
      <c r="P67" s="2"/>
      <c r="Q67" s="2"/>
      <c r="R67" s="2"/>
      <c r="S67" s="2"/>
      <c r="T67" s="2"/>
      <c r="U67" s="2"/>
      <c r="V67" s="2"/>
      <c r="W67" s="2"/>
      <c r="X67" s="2"/>
      <c r="Y67" s="2"/>
      <c r="Z67" s="2"/>
    </row>
    <row r="68" spans="1:26" ht="12.75" customHeight="1" x14ac:dyDescent="0.25">
      <c r="A68" s="38" t="s">
        <v>113</v>
      </c>
      <c r="B68" s="39">
        <v>213017.86999999997</v>
      </c>
      <c r="C68" s="28"/>
      <c r="D68" s="39">
        <f>SUMIFS(Data!N:N,Data!A:A,Data!$A$4,Data!C:C,'Projected YE Balances'!A68)-SUMIFS(Data!N:N,Data!A:A,Data!$A$49,Data!C:C,'Projected YE Balances'!A68)</f>
        <v>30910.046666000002</v>
      </c>
      <c r="E68" s="28"/>
      <c r="F68" s="39">
        <f t="shared" ref="F68:F69" si="6">B68+D68</f>
        <v>243927.91666599998</v>
      </c>
      <c r="G68" s="24"/>
      <c r="H68" s="40"/>
      <c r="I68" s="40"/>
      <c r="J68" s="40"/>
      <c r="K68" s="40"/>
      <c r="L68" s="40"/>
      <c r="M68" s="40"/>
      <c r="N68" s="40"/>
      <c r="O68" s="2"/>
      <c r="P68" s="2"/>
      <c r="Q68" s="2"/>
      <c r="R68" s="2"/>
      <c r="S68" s="2"/>
      <c r="T68" s="2"/>
      <c r="U68" s="2"/>
      <c r="V68" s="2"/>
      <c r="W68" s="2"/>
      <c r="X68" s="2"/>
      <c r="Y68" s="2"/>
      <c r="Z68" s="2"/>
    </row>
    <row r="69" spans="1:26" ht="12.75" customHeight="1" x14ac:dyDescent="0.25">
      <c r="A69" s="38" t="s">
        <v>114</v>
      </c>
      <c r="B69" s="39">
        <v>208325.02000000072</v>
      </c>
      <c r="C69" s="28"/>
      <c r="D69" s="39">
        <f>SUMIFS(Data!N:N,Data!A:A,Data!$A$4,Data!C:C,'Projected YE Balances'!A69)-SUMIFS(Data!N:N,Data!A:A,Data!$A$49,Data!C:C,'Projected YE Balances'!A69)</f>
        <v>359591.58333599998</v>
      </c>
      <c r="E69" s="28"/>
      <c r="F69" s="39">
        <f t="shared" si="6"/>
        <v>567916.6033360007</v>
      </c>
      <c r="G69" s="24"/>
      <c r="H69" s="40"/>
      <c r="I69" s="40"/>
      <c r="J69" s="40"/>
      <c r="K69" s="40"/>
      <c r="L69" s="40"/>
      <c r="M69" s="40"/>
      <c r="N69" s="40"/>
      <c r="O69" s="2"/>
      <c r="P69" s="2"/>
      <c r="Q69" s="2"/>
      <c r="R69" s="2"/>
      <c r="S69" s="2"/>
      <c r="T69" s="2"/>
      <c r="U69" s="2"/>
      <c r="V69" s="2"/>
      <c r="W69" s="2"/>
      <c r="X69" s="2"/>
      <c r="Y69" s="2"/>
      <c r="Z69" s="2"/>
    </row>
    <row r="70" spans="1:26" ht="12.75" customHeight="1" x14ac:dyDescent="0.25">
      <c r="A70" s="33" t="s">
        <v>115</v>
      </c>
      <c r="B70" s="34">
        <f>SUM(B71:B72)</f>
        <v>754731.39999999898</v>
      </c>
      <c r="C70" s="35"/>
      <c r="D70" s="34">
        <f>SUM(D71:D72)</f>
        <v>-265056.57333600009</v>
      </c>
      <c r="E70" s="35"/>
      <c r="F70" s="34">
        <f>SUM(F71:F72)</f>
        <v>489674.82666399889</v>
      </c>
      <c r="G70" s="24"/>
      <c r="H70" s="40"/>
      <c r="I70" s="40"/>
      <c r="J70" s="40"/>
      <c r="K70" s="40"/>
      <c r="L70" s="39">
        <f>F70</f>
        <v>489674.82666399889</v>
      </c>
      <c r="M70" s="40"/>
      <c r="N70" s="40"/>
      <c r="O70" s="2"/>
      <c r="P70" s="2"/>
      <c r="Q70" s="2"/>
      <c r="R70" s="2"/>
      <c r="S70" s="2"/>
      <c r="T70" s="2"/>
      <c r="U70" s="2"/>
      <c r="V70" s="2"/>
      <c r="W70" s="2"/>
      <c r="X70" s="2"/>
      <c r="Y70" s="2"/>
      <c r="Z70" s="2"/>
    </row>
    <row r="71" spans="1:26" ht="12.75" customHeight="1" x14ac:dyDescent="0.25">
      <c r="A71" s="38" t="s">
        <v>116</v>
      </c>
      <c r="B71" s="39">
        <v>446040.49999999895</v>
      </c>
      <c r="C71" s="28"/>
      <c r="D71" s="39">
        <f>SUMIFS(Data!N:N,Data!A:A,Data!$A$4,Data!C:C,'Projected YE Balances'!A71)-SUMIFS(Data!N:N,Data!A:A,Data!$A$49,Data!C:C,'Projected YE Balances'!A71)</f>
        <v>-37314.306666000048</v>
      </c>
      <c r="E71" s="28"/>
      <c r="F71" s="39">
        <f t="shared" ref="F71:F72" si="7">B71+D71</f>
        <v>408726.1933339989</v>
      </c>
      <c r="G71" s="24"/>
      <c r="H71" s="40"/>
      <c r="I71" s="40"/>
      <c r="J71" s="40"/>
      <c r="K71" s="40"/>
      <c r="L71" s="40"/>
      <c r="M71" s="40"/>
      <c r="N71" s="40"/>
      <c r="O71" s="2"/>
      <c r="P71" s="2"/>
      <c r="Q71" s="2"/>
      <c r="R71" s="2"/>
      <c r="S71" s="2"/>
      <c r="T71" s="2"/>
      <c r="U71" s="2"/>
      <c r="V71" s="2"/>
      <c r="W71" s="2"/>
      <c r="X71" s="2"/>
      <c r="Y71" s="2"/>
      <c r="Z71" s="2"/>
    </row>
    <row r="72" spans="1:26" ht="12.75" customHeight="1" x14ac:dyDescent="0.25">
      <c r="A72" s="38" t="s">
        <v>117</v>
      </c>
      <c r="B72" s="39">
        <v>308690.90000000002</v>
      </c>
      <c r="C72" s="28"/>
      <c r="D72" s="39">
        <f>SUMIFS(Data!N:N,Data!A:A,Data!$A$4,Data!C:C,'Projected YE Balances'!A72)-SUMIFS(Data!N:N,Data!A:A,Data!$A$49,Data!C:C,'Projected YE Balances'!A72)</f>
        <v>-227742.26667000001</v>
      </c>
      <c r="E72" s="28"/>
      <c r="F72" s="39">
        <f t="shared" si="7"/>
        <v>80948.633330000011</v>
      </c>
      <c r="G72" s="24"/>
      <c r="H72" s="40"/>
      <c r="I72" s="40"/>
      <c r="J72" s="40"/>
      <c r="K72" s="40"/>
      <c r="L72" s="40"/>
      <c r="M72" s="40"/>
      <c r="N72" s="40"/>
      <c r="O72" s="2"/>
      <c r="P72" s="2"/>
      <c r="Q72" s="2"/>
      <c r="R72" s="2"/>
      <c r="S72" s="2"/>
      <c r="T72" s="2"/>
      <c r="U72" s="2"/>
      <c r="V72" s="2"/>
      <c r="W72" s="2"/>
      <c r="X72" s="2"/>
      <c r="Y72" s="2"/>
      <c r="Z72" s="2"/>
    </row>
    <row r="73" spans="1:26" ht="12.75" customHeight="1" x14ac:dyDescent="0.25">
      <c r="A73" s="42" t="s">
        <v>32</v>
      </c>
      <c r="B73" s="43">
        <f>B70+B67+B60+B58+B56+B54+B52+B50+B47+B45+B43+B39+B30+B27+B7+B5</f>
        <v>42021722.870000087</v>
      </c>
      <c r="C73" s="35"/>
      <c r="D73" s="43">
        <f>D70+D67+D60+D58+D56+D54+D52+D50+D47+D45+D43+D39+D30+D27+D7+D5</f>
        <v>-186126.93659400509</v>
      </c>
      <c r="E73" s="35"/>
      <c r="F73" s="43">
        <f>F70+F67+F60+F58+F56+F54+F52+F50+F47+F45+F43+F39+F30+F27+F7+F5</f>
        <v>41835595.933406085</v>
      </c>
      <c r="G73" s="24"/>
      <c r="H73" s="43">
        <f t="shared" ref="H73:N73" si="8">SUM(H5:H72)</f>
        <v>72378.619999000002</v>
      </c>
      <c r="I73" s="43">
        <f t="shared" si="8"/>
        <v>294333.200006</v>
      </c>
      <c r="J73" s="43">
        <f t="shared" si="8"/>
        <v>13438081.760036997</v>
      </c>
      <c r="K73" s="43">
        <f t="shared" si="8"/>
        <v>13567294.013336003</v>
      </c>
      <c r="L73" s="43">
        <f t="shared" si="8"/>
        <v>7460944.5200050119</v>
      </c>
      <c r="M73" s="43">
        <f t="shared" si="8"/>
        <v>2541177.3000219963</v>
      </c>
      <c r="N73" s="43">
        <f t="shared" si="8"/>
        <v>4461386.7800010005</v>
      </c>
      <c r="O73" s="2"/>
      <c r="P73" s="28"/>
      <c r="Q73" s="2"/>
      <c r="R73" s="2"/>
      <c r="S73" s="2"/>
      <c r="T73" s="2"/>
      <c r="U73" s="2"/>
      <c r="V73" s="2"/>
      <c r="W73" s="2"/>
      <c r="X73" s="2"/>
      <c r="Y73" s="2"/>
      <c r="Z73" s="2"/>
    </row>
    <row r="74" spans="1:26" ht="12.75" customHeight="1" x14ac:dyDescent="0.25">
      <c r="A74" s="2"/>
      <c r="B74" s="2"/>
      <c r="C74" s="2"/>
      <c r="D74" s="2"/>
      <c r="E74" s="2"/>
      <c r="F74" s="2"/>
      <c r="G74" s="2"/>
      <c r="H74" s="2"/>
      <c r="I74" s="2"/>
      <c r="J74" s="2"/>
      <c r="K74" s="2"/>
      <c r="L74" s="2"/>
      <c r="M74" s="2"/>
      <c r="N74" s="2"/>
      <c r="O74" s="2"/>
      <c r="P74" s="28"/>
      <c r="Q74" s="2"/>
      <c r="R74" s="2"/>
      <c r="S74" s="2"/>
      <c r="T74" s="2"/>
      <c r="U74" s="2"/>
      <c r="V74" s="2"/>
      <c r="W74" s="2"/>
      <c r="X74" s="2"/>
      <c r="Y74" s="2"/>
      <c r="Z74" s="2"/>
    </row>
    <row r="75" spans="1:26" ht="12.75" customHeight="1" x14ac:dyDescent="0.25">
      <c r="A75" s="2"/>
      <c r="B75" s="2"/>
      <c r="C75" s="2"/>
      <c r="D75" s="28"/>
      <c r="E75" s="2"/>
      <c r="F75" s="2"/>
      <c r="G75" s="44" t="s">
        <v>50</v>
      </c>
      <c r="H75" s="75" t="s">
        <v>118</v>
      </c>
      <c r="I75" s="67"/>
      <c r="J75" s="67"/>
      <c r="K75" s="67"/>
      <c r="L75" s="67"/>
      <c r="M75" s="67"/>
      <c r="N75" s="67"/>
      <c r="O75" s="2"/>
      <c r="P75" s="2"/>
      <c r="Q75" s="2"/>
      <c r="R75" s="2"/>
      <c r="S75" s="2"/>
      <c r="T75" s="2"/>
      <c r="U75" s="2"/>
      <c r="V75" s="2"/>
      <c r="W75" s="2"/>
      <c r="X75" s="2"/>
      <c r="Y75" s="2"/>
      <c r="Z75" s="2"/>
    </row>
    <row r="76" spans="1:26" ht="12.75" customHeight="1" x14ac:dyDescent="0.25">
      <c r="A76" s="2"/>
      <c r="B76" s="2"/>
      <c r="C76" s="2"/>
      <c r="D76" s="28"/>
      <c r="E76" s="2"/>
      <c r="F76" s="2"/>
      <c r="G76" s="44" t="s">
        <v>119</v>
      </c>
      <c r="H76" s="75" t="s">
        <v>120</v>
      </c>
      <c r="I76" s="67"/>
      <c r="J76" s="67"/>
      <c r="K76" s="67"/>
      <c r="L76" s="67"/>
      <c r="M76" s="67"/>
      <c r="N76" s="67"/>
      <c r="O76" s="2"/>
      <c r="P76" s="2"/>
      <c r="Q76" s="2"/>
      <c r="R76" s="2"/>
      <c r="S76" s="2"/>
      <c r="T76" s="2"/>
      <c r="U76" s="2"/>
      <c r="V76" s="2"/>
      <c r="W76" s="2"/>
      <c r="X76" s="2"/>
      <c r="Y76" s="2"/>
      <c r="Z76" s="2"/>
    </row>
    <row r="77" spans="1:26" ht="12.75" customHeight="1" x14ac:dyDescent="0.25">
      <c r="A77" s="2"/>
      <c r="B77" s="2"/>
      <c r="C77" s="2"/>
      <c r="D77" s="2"/>
      <c r="E77" s="2"/>
      <c r="F77" s="2"/>
      <c r="G77" s="44" t="s">
        <v>99</v>
      </c>
      <c r="H77" s="75" t="s">
        <v>121</v>
      </c>
      <c r="I77" s="67"/>
      <c r="J77" s="67"/>
      <c r="K77" s="67"/>
      <c r="L77" s="67"/>
      <c r="M77" s="67"/>
      <c r="N77" s="67"/>
      <c r="O77" s="2"/>
      <c r="P77" s="2"/>
      <c r="Q77" s="2"/>
      <c r="R77" s="2"/>
      <c r="S77" s="2"/>
      <c r="T77" s="2"/>
      <c r="U77" s="2"/>
      <c r="V77" s="2"/>
      <c r="W77" s="2"/>
      <c r="X77" s="2"/>
      <c r="Y77" s="2"/>
      <c r="Z77" s="2"/>
    </row>
    <row r="78" spans="1:26" ht="12.75" customHeight="1" x14ac:dyDescent="0.25">
      <c r="A78" s="2"/>
      <c r="B78" s="2"/>
      <c r="C78" s="2"/>
      <c r="D78" s="2"/>
      <c r="E78" s="2"/>
      <c r="F78" s="2"/>
      <c r="G78" s="8"/>
      <c r="H78" s="67"/>
      <c r="I78" s="67"/>
      <c r="J78" s="67"/>
      <c r="K78" s="67"/>
      <c r="L78" s="67"/>
      <c r="M78" s="67"/>
      <c r="N78" s="67"/>
      <c r="O78" s="2"/>
      <c r="P78" s="2"/>
      <c r="Q78" s="2"/>
      <c r="R78" s="2"/>
      <c r="S78" s="2"/>
      <c r="T78" s="2"/>
      <c r="U78" s="2"/>
      <c r="V78" s="2"/>
      <c r="W78" s="2"/>
      <c r="X78" s="2"/>
      <c r="Y78" s="2"/>
      <c r="Z78" s="2"/>
    </row>
    <row r="79" spans="1:26"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H77:N78"/>
    <mergeCell ref="A1:F1"/>
    <mergeCell ref="H1:N1"/>
    <mergeCell ref="H3:N3"/>
    <mergeCell ref="H75:N75"/>
    <mergeCell ref="H76:N7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91EAA-3CD1-4209-8E69-C08BC4E393C9}">
  <dimension ref="A3:S1000"/>
  <sheetViews>
    <sheetView topLeftCell="A63" workbookViewId="0">
      <selection activeCell="A3" sqref="A3:P97"/>
    </sheetView>
  </sheetViews>
  <sheetFormatPr defaultColWidth="14.42578125" defaultRowHeight="15" customHeight="1" x14ac:dyDescent="0.25"/>
  <cols>
    <col min="1" max="1" width="13.85546875" customWidth="1"/>
    <col min="2" max="2" width="26.5703125" customWidth="1"/>
    <col min="3" max="3" width="35.42578125" customWidth="1"/>
    <col min="4" max="4" width="10.7109375" customWidth="1"/>
    <col min="5" max="5" width="9.140625" customWidth="1"/>
    <col min="6" max="6" width="10.140625" customWidth="1"/>
    <col min="7" max="7" width="9.5703125" customWidth="1"/>
    <col min="8" max="8" width="9.42578125" customWidth="1"/>
    <col min="9" max="9" width="10.42578125" customWidth="1"/>
    <col min="10" max="10" width="9.85546875" customWidth="1"/>
    <col min="11" max="11" width="7.85546875" customWidth="1"/>
    <col min="12" max="12" width="11.140625" customWidth="1"/>
    <col min="13" max="13" width="14.140625" customWidth="1"/>
    <col min="14" max="14" width="10.28515625" customWidth="1"/>
    <col min="15" max="15" width="9" customWidth="1"/>
    <col min="16" max="16" width="8.42578125" customWidth="1"/>
    <col min="17" max="17" width="8.7109375" customWidth="1"/>
    <col min="18" max="18" width="10.85546875" customWidth="1"/>
    <col min="19" max="19" width="10.28515625" customWidth="1"/>
    <col min="20" max="26" width="8.7109375" customWidth="1"/>
  </cols>
  <sheetData>
    <row r="3" spans="1:16" x14ac:dyDescent="0.25">
      <c r="A3" s="90" t="s">
        <v>122</v>
      </c>
      <c r="B3" s="91" t="s">
        <v>123</v>
      </c>
      <c r="C3" s="91" t="s">
        <v>124</v>
      </c>
      <c r="D3" s="92" t="s">
        <v>125</v>
      </c>
      <c r="E3" s="92" t="s">
        <v>126</v>
      </c>
      <c r="F3" s="92" t="s">
        <v>127</v>
      </c>
      <c r="G3" s="92" t="s">
        <v>128</v>
      </c>
      <c r="H3" s="92" t="s">
        <v>129</v>
      </c>
      <c r="I3" s="92" t="s">
        <v>130</v>
      </c>
      <c r="J3" s="92" t="s">
        <v>131</v>
      </c>
      <c r="K3" s="92" t="s">
        <v>132</v>
      </c>
      <c r="L3" s="92" t="s">
        <v>133</v>
      </c>
      <c r="M3" s="92" t="s">
        <v>134</v>
      </c>
      <c r="N3" s="92" t="s">
        <v>135</v>
      </c>
      <c r="O3" s="92" t="s">
        <v>136</v>
      </c>
      <c r="P3" s="92" t="s">
        <v>137</v>
      </c>
    </row>
    <row r="4" spans="1:16" x14ac:dyDescent="0.25">
      <c r="A4" s="48" t="s">
        <v>138</v>
      </c>
      <c r="B4" s="49" t="s">
        <v>139</v>
      </c>
      <c r="C4" s="50" t="s">
        <v>53</v>
      </c>
      <c r="D4" s="51">
        <v>90000</v>
      </c>
      <c r="E4" s="51">
        <v>0</v>
      </c>
      <c r="F4" s="51">
        <v>90000</v>
      </c>
      <c r="G4" s="51">
        <v>62240.800000000003</v>
      </c>
      <c r="H4" s="51">
        <v>0</v>
      </c>
      <c r="I4" s="51">
        <v>62240.800000000003</v>
      </c>
      <c r="J4" s="52">
        <v>-27759.200000000001</v>
      </c>
      <c r="K4" s="53">
        <v>0.69156444444444443</v>
      </c>
      <c r="L4" s="51">
        <v>104867.099999</v>
      </c>
      <c r="M4" s="51">
        <v>0</v>
      </c>
      <c r="N4" s="51">
        <v>104867.099999</v>
      </c>
      <c r="O4" s="51">
        <v>14867.099999</v>
      </c>
      <c r="P4" s="54">
        <v>1.1651899999888888</v>
      </c>
    </row>
    <row r="5" spans="1:16" x14ac:dyDescent="0.25">
      <c r="A5" s="48" t="s">
        <v>138</v>
      </c>
      <c r="B5" s="49" t="s">
        <v>139</v>
      </c>
      <c r="C5" s="50" t="s">
        <v>54</v>
      </c>
      <c r="D5" s="51">
        <v>27300</v>
      </c>
      <c r="E5" s="51">
        <v>0</v>
      </c>
      <c r="F5" s="51">
        <v>27300</v>
      </c>
      <c r="G5" s="51">
        <v>736.25</v>
      </c>
      <c r="H5" s="51">
        <v>0</v>
      </c>
      <c r="I5" s="51">
        <v>736.25</v>
      </c>
      <c r="J5" s="52">
        <v>-26563.75</v>
      </c>
      <c r="K5" s="53">
        <v>2.696886446886447E-2</v>
      </c>
      <c r="L5" s="51">
        <v>6229.4333329999999</v>
      </c>
      <c r="M5" s="51">
        <v>0</v>
      </c>
      <c r="N5" s="51">
        <v>6229.4333329999999</v>
      </c>
      <c r="O5" s="52">
        <v>-21070.566666999999</v>
      </c>
      <c r="P5" s="54">
        <v>0.22818437117216117</v>
      </c>
    </row>
    <row r="6" spans="1:16" x14ac:dyDescent="0.25">
      <c r="A6" s="48" t="s">
        <v>138</v>
      </c>
      <c r="B6" s="49" t="s">
        <v>139</v>
      </c>
      <c r="C6" s="50" t="s">
        <v>55</v>
      </c>
      <c r="D6" s="51">
        <v>5000</v>
      </c>
      <c r="E6" s="51">
        <v>0</v>
      </c>
      <c r="F6" s="51">
        <v>5000</v>
      </c>
      <c r="G6" s="51">
        <v>1925</v>
      </c>
      <c r="H6" s="51">
        <v>0</v>
      </c>
      <c r="I6" s="51">
        <v>1925</v>
      </c>
      <c r="J6" s="52">
        <v>-3075</v>
      </c>
      <c r="K6" s="53">
        <v>0.38500000000000001</v>
      </c>
      <c r="L6" s="51">
        <v>2587.1066660000001</v>
      </c>
      <c r="M6" s="51">
        <v>0</v>
      </c>
      <c r="N6" s="51">
        <v>2587.1066660000001</v>
      </c>
      <c r="O6" s="52">
        <v>-2412.8933339999999</v>
      </c>
      <c r="P6" s="54">
        <v>0.51742133320000006</v>
      </c>
    </row>
    <row r="7" spans="1:16" x14ac:dyDescent="0.25">
      <c r="A7" s="48" t="s">
        <v>138</v>
      </c>
      <c r="B7" s="49" t="s">
        <v>139</v>
      </c>
      <c r="C7" s="50" t="s">
        <v>56</v>
      </c>
      <c r="D7" s="51">
        <v>6000</v>
      </c>
      <c r="E7" s="51">
        <v>0</v>
      </c>
      <c r="F7" s="51">
        <v>6000</v>
      </c>
      <c r="G7" s="51">
        <v>1412.5</v>
      </c>
      <c r="H7" s="51">
        <v>0</v>
      </c>
      <c r="I7" s="51">
        <v>1412.5</v>
      </c>
      <c r="J7" s="52">
        <v>-4587.5</v>
      </c>
      <c r="K7" s="53">
        <v>0.23541666666666666</v>
      </c>
      <c r="L7" s="51">
        <v>2307.7733330000001</v>
      </c>
      <c r="M7" s="51">
        <v>0</v>
      </c>
      <c r="N7" s="51">
        <v>2307.7733330000001</v>
      </c>
      <c r="O7" s="52">
        <v>-3692.2266669999999</v>
      </c>
      <c r="P7" s="54">
        <v>0.38462888883333335</v>
      </c>
    </row>
    <row r="8" spans="1:16" x14ac:dyDescent="0.25">
      <c r="A8" s="48" t="s">
        <v>138</v>
      </c>
      <c r="B8" s="49" t="s">
        <v>139</v>
      </c>
      <c r="C8" s="50" t="s">
        <v>57</v>
      </c>
      <c r="D8" s="51">
        <v>11000</v>
      </c>
      <c r="E8" s="51">
        <v>0</v>
      </c>
      <c r="F8" s="51">
        <v>11000</v>
      </c>
      <c r="G8" s="51">
        <v>1475</v>
      </c>
      <c r="H8" s="51">
        <v>0</v>
      </c>
      <c r="I8" s="51">
        <v>1475</v>
      </c>
      <c r="J8" s="52">
        <v>-9525</v>
      </c>
      <c r="K8" s="53">
        <v>0.13409090909090909</v>
      </c>
      <c r="L8" s="51">
        <v>4409.2233329999999</v>
      </c>
      <c r="M8" s="51">
        <v>0</v>
      </c>
      <c r="N8" s="51">
        <v>4409.2233329999999</v>
      </c>
      <c r="O8" s="52">
        <v>-6590.7766670000001</v>
      </c>
      <c r="P8" s="54">
        <v>0.40083848481818179</v>
      </c>
    </row>
    <row r="9" spans="1:16" x14ac:dyDescent="0.25">
      <c r="A9" s="48" t="s">
        <v>138</v>
      </c>
      <c r="B9" s="49" t="s">
        <v>139</v>
      </c>
      <c r="C9" s="50" t="s">
        <v>58</v>
      </c>
      <c r="D9" s="51">
        <v>10000</v>
      </c>
      <c r="E9" s="51">
        <v>0</v>
      </c>
      <c r="F9" s="51">
        <v>10000</v>
      </c>
      <c r="G9" s="52">
        <v>-692.5</v>
      </c>
      <c r="H9" s="51">
        <v>0</v>
      </c>
      <c r="I9" s="52">
        <v>-692.5</v>
      </c>
      <c r="J9" s="52">
        <v>-10692.5</v>
      </c>
      <c r="K9" s="55">
        <v>-6.9250000000000006E-2</v>
      </c>
      <c r="L9" s="51">
        <v>7858.7433339999998</v>
      </c>
      <c r="M9" s="51">
        <v>0</v>
      </c>
      <c r="N9" s="51">
        <v>7858.7433339999998</v>
      </c>
      <c r="O9" s="52">
        <v>-2141.2566660000002</v>
      </c>
      <c r="P9" s="54">
        <v>0.78587433340000001</v>
      </c>
    </row>
    <row r="10" spans="1:16" x14ac:dyDescent="0.25">
      <c r="A10" s="48" t="s">
        <v>138</v>
      </c>
      <c r="B10" s="49" t="s">
        <v>139</v>
      </c>
      <c r="C10" s="50" t="s">
        <v>59</v>
      </c>
      <c r="D10" s="51">
        <v>19000</v>
      </c>
      <c r="E10" s="51">
        <v>0</v>
      </c>
      <c r="F10" s="51">
        <v>19000</v>
      </c>
      <c r="G10" s="51">
        <v>2750</v>
      </c>
      <c r="H10" s="51">
        <v>0</v>
      </c>
      <c r="I10" s="51">
        <v>2750</v>
      </c>
      <c r="J10" s="52">
        <v>-16250</v>
      </c>
      <c r="K10" s="53">
        <v>0.14473684210526316</v>
      </c>
      <c r="L10" s="51">
        <v>2808.333333</v>
      </c>
      <c r="M10" s="51">
        <v>0</v>
      </c>
      <c r="N10" s="51">
        <v>2808.333333</v>
      </c>
      <c r="O10" s="52">
        <v>-16191.666667</v>
      </c>
      <c r="P10" s="54">
        <v>0.14780701752631578</v>
      </c>
    </row>
    <row r="11" spans="1:16" x14ac:dyDescent="0.25">
      <c r="A11" s="48" t="s">
        <v>138</v>
      </c>
      <c r="B11" s="49" t="s">
        <v>139</v>
      </c>
      <c r="C11" s="50" t="s">
        <v>60</v>
      </c>
      <c r="D11" s="51">
        <v>6000</v>
      </c>
      <c r="E11" s="51">
        <v>0</v>
      </c>
      <c r="F11" s="51">
        <v>6000</v>
      </c>
      <c r="G11" s="51">
        <v>6562.5</v>
      </c>
      <c r="H11" s="51">
        <v>0</v>
      </c>
      <c r="I11" s="51">
        <v>6562.5</v>
      </c>
      <c r="J11" s="51">
        <v>562.5</v>
      </c>
      <c r="K11" s="53">
        <v>1.09375</v>
      </c>
      <c r="L11" s="51">
        <v>8105.6866659999996</v>
      </c>
      <c r="M11" s="51">
        <v>0</v>
      </c>
      <c r="N11" s="51">
        <v>8105.6866659999996</v>
      </c>
      <c r="O11" s="51">
        <v>2105.6866660000001</v>
      </c>
      <c r="P11" s="54">
        <v>1.3509477776666667</v>
      </c>
    </row>
    <row r="12" spans="1:16" x14ac:dyDescent="0.25">
      <c r="A12" s="48" t="s">
        <v>138</v>
      </c>
      <c r="B12" s="49" t="s">
        <v>139</v>
      </c>
      <c r="C12" s="50" t="s">
        <v>61</v>
      </c>
      <c r="D12" s="51">
        <v>3800</v>
      </c>
      <c r="E12" s="51">
        <v>0</v>
      </c>
      <c r="F12" s="51">
        <v>3800</v>
      </c>
      <c r="G12" s="51">
        <v>325</v>
      </c>
      <c r="H12" s="51">
        <v>0</v>
      </c>
      <c r="I12" s="51">
        <v>325</v>
      </c>
      <c r="J12" s="52">
        <v>-3475</v>
      </c>
      <c r="K12" s="53">
        <v>8.5526315789473686E-2</v>
      </c>
      <c r="L12" s="51">
        <v>1080</v>
      </c>
      <c r="M12" s="51">
        <v>0</v>
      </c>
      <c r="N12" s="51">
        <v>1080</v>
      </c>
      <c r="O12" s="52">
        <v>-2720</v>
      </c>
      <c r="P12" s="54">
        <v>0.28421052631578947</v>
      </c>
    </row>
    <row r="13" spans="1:16" x14ac:dyDescent="0.25">
      <c r="A13" s="48" t="s">
        <v>138</v>
      </c>
      <c r="B13" s="49" t="s">
        <v>139</v>
      </c>
      <c r="C13" s="50" t="s">
        <v>62</v>
      </c>
      <c r="D13" s="51">
        <v>4500</v>
      </c>
      <c r="E13" s="51">
        <v>0</v>
      </c>
      <c r="F13" s="51">
        <v>4500</v>
      </c>
      <c r="G13" s="51">
        <v>1822.5</v>
      </c>
      <c r="H13" s="51">
        <v>0</v>
      </c>
      <c r="I13" s="51">
        <v>1822.5</v>
      </c>
      <c r="J13" s="52">
        <v>-2677.5</v>
      </c>
      <c r="K13" s="53">
        <v>0.40500000000000003</v>
      </c>
      <c r="L13" s="51">
        <v>2534.876667</v>
      </c>
      <c r="M13" s="51">
        <v>0</v>
      </c>
      <c r="N13" s="51">
        <v>2534.876667</v>
      </c>
      <c r="O13" s="52">
        <v>-1965.123333</v>
      </c>
      <c r="P13" s="54">
        <v>0.56330592599999996</v>
      </c>
    </row>
    <row r="14" spans="1:16" x14ac:dyDescent="0.25">
      <c r="A14" s="48" t="s">
        <v>138</v>
      </c>
      <c r="B14" s="49" t="s">
        <v>139</v>
      </c>
      <c r="C14" s="50" t="s">
        <v>63</v>
      </c>
      <c r="D14" s="51">
        <v>21200</v>
      </c>
      <c r="E14" s="51">
        <v>0</v>
      </c>
      <c r="F14" s="51">
        <v>21200</v>
      </c>
      <c r="G14" s="51">
        <v>17558.09</v>
      </c>
      <c r="H14" s="51">
        <v>0</v>
      </c>
      <c r="I14" s="51">
        <v>17558.09</v>
      </c>
      <c r="J14" s="52">
        <v>-3641.91</v>
      </c>
      <c r="K14" s="53">
        <v>0.82821179245283016</v>
      </c>
      <c r="L14" s="51">
        <v>21509.11</v>
      </c>
      <c r="M14" s="51">
        <v>0</v>
      </c>
      <c r="N14" s="51">
        <v>21509.11</v>
      </c>
      <c r="O14" s="51">
        <v>309.11</v>
      </c>
      <c r="P14" s="54">
        <v>1.0145806603773584</v>
      </c>
    </row>
    <row r="15" spans="1:16" x14ac:dyDescent="0.25">
      <c r="A15" s="48" t="s">
        <v>138</v>
      </c>
      <c r="B15" s="49" t="s">
        <v>139</v>
      </c>
      <c r="C15" s="50" t="s">
        <v>64</v>
      </c>
      <c r="D15" s="51">
        <v>19000</v>
      </c>
      <c r="E15" s="51">
        <v>0</v>
      </c>
      <c r="F15" s="51">
        <v>19000</v>
      </c>
      <c r="G15" s="51">
        <v>2015.5</v>
      </c>
      <c r="H15" s="51">
        <v>0</v>
      </c>
      <c r="I15" s="51">
        <v>2015.5</v>
      </c>
      <c r="J15" s="52">
        <v>-16984.5</v>
      </c>
      <c r="K15" s="53">
        <v>0.10607894736842105</v>
      </c>
      <c r="L15" s="51">
        <v>5039.1833329999999</v>
      </c>
      <c r="M15" s="51">
        <v>0</v>
      </c>
      <c r="N15" s="51">
        <v>5039.1833329999999</v>
      </c>
      <c r="O15" s="52">
        <v>-13960.816666999999</v>
      </c>
      <c r="P15" s="54">
        <v>0.26522017542105264</v>
      </c>
    </row>
    <row r="16" spans="1:16" x14ac:dyDescent="0.25">
      <c r="A16" s="48" t="s">
        <v>138</v>
      </c>
      <c r="B16" s="49" t="s">
        <v>139</v>
      </c>
      <c r="C16" s="50" t="s">
        <v>65</v>
      </c>
      <c r="D16" s="51">
        <v>4000</v>
      </c>
      <c r="E16" s="51">
        <v>0</v>
      </c>
      <c r="F16" s="51">
        <v>4000</v>
      </c>
      <c r="G16" s="51">
        <v>50037.5</v>
      </c>
      <c r="H16" s="51">
        <v>0</v>
      </c>
      <c r="I16" s="51">
        <v>50037.5</v>
      </c>
      <c r="J16" s="51">
        <v>46037.5</v>
      </c>
      <c r="K16" s="53">
        <v>9.99</v>
      </c>
      <c r="L16" s="51">
        <v>50577.353332999999</v>
      </c>
      <c r="M16" s="51">
        <v>0</v>
      </c>
      <c r="N16" s="51">
        <v>50577.353332999999</v>
      </c>
      <c r="O16" s="51">
        <v>46577.353332999999</v>
      </c>
      <c r="P16" s="54">
        <v>9.99</v>
      </c>
    </row>
    <row r="17" spans="1:19" x14ac:dyDescent="0.25">
      <c r="A17" s="48" t="s">
        <v>138</v>
      </c>
      <c r="B17" s="49" t="s">
        <v>96</v>
      </c>
      <c r="C17" s="50" t="s">
        <v>97</v>
      </c>
      <c r="D17" s="51">
        <v>16349703</v>
      </c>
      <c r="E17" s="51">
        <v>0</v>
      </c>
      <c r="F17" s="51">
        <v>16349703</v>
      </c>
      <c r="G17" s="51">
        <v>14331480.68</v>
      </c>
      <c r="H17" s="51">
        <v>0</v>
      </c>
      <c r="I17" s="51">
        <v>14331480.68</v>
      </c>
      <c r="J17" s="52">
        <v>-2018222.32</v>
      </c>
      <c r="K17" s="53">
        <v>0.87655908367265145</v>
      </c>
      <c r="L17" s="51">
        <v>14789271.716666</v>
      </c>
      <c r="M17" s="51">
        <v>113162</v>
      </c>
      <c r="N17" s="51">
        <v>14902433.716666</v>
      </c>
      <c r="O17" s="52">
        <v>-1447269.283334</v>
      </c>
      <c r="P17" s="54">
        <v>0.91148039304848538</v>
      </c>
    </row>
    <row r="18" spans="1:19" x14ac:dyDescent="0.25">
      <c r="A18" s="48" t="s">
        <v>138</v>
      </c>
      <c r="B18" s="49" t="s">
        <v>89</v>
      </c>
      <c r="C18" s="50" t="s">
        <v>90</v>
      </c>
      <c r="D18" s="51">
        <v>8919552</v>
      </c>
      <c r="E18" s="51">
        <v>0</v>
      </c>
      <c r="F18" s="51">
        <v>8919552</v>
      </c>
      <c r="G18" s="51">
        <v>7966583.6600000001</v>
      </c>
      <c r="H18" s="51">
        <v>0</v>
      </c>
      <c r="I18" s="51">
        <v>7966583.6600000001</v>
      </c>
      <c r="J18" s="52">
        <v>-952968.34</v>
      </c>
      <c r="K18" s="53">
        <v>0.89315961833060675</v>
      </c>
      <c r="L18" s="51">
        <v>11065216.530001</v>
      </c>
      <c r="M18" s="52">
        <v>-2793804</v>
      </c>
      <c r="N18" s="51">
        <v>8271412.5300009996</v>
      </c>
      <c r="O18" s="52">
        <v>-648139.46999899996</v>
      </c>
      <c r="P18" s="54">
        <v>0.92733497489571226</v>
      </c>
    </row>
    <row r="19" spans="1:19" x14ac:dyDescent="0.25">
      <c r="A19" s="48" t="s">
        <v>138</v>
      </c>
      <c r="B19" s="49" t="s">
        <v>115</v>
      </c>
      <c r="C19" s="50" t="s">
        <v>116</v>
      </c>
      <c r="D19" s="51">
        <v>979575</v>
      </c>
      <c r="E19" s="51">
        <v>0</v>
      </c>
      <c r="F19" s="51">
        <v>979575</v>
      </c>
      <c r="G19" s="51">
        <v>853436.81</v>
      </c>
      <c r="H19" s="51">
        <v>0</v>
      </c>
      <c r="I19" s="51">
        <v>853436.81</v>
      </c>
      <c r="J19" s="52">
        <v>-126138.19</v>
      </c>
      <c r="K19" s="53">
        <v>0.87123171783681697</v>
      </c>
      <c r="L19" s="51">
        <v>901389.87</v>
      </c>
      <c r="M19" s="51">
        <v>76289</v>
      </c>
      <c r="N19" s="51">
        <v>977678.87</v>
      </c>
      <c r="O19" s="52">
        <v>-1896.13</v>
      </c>
      <c r="P19" s="54">
        <v>0.99806433402240768</v>
      </c>
    </row>
    <row r="20" spans="1:19" x14ac:dyDescent="0.25">
      <c r="A20" s="48" t="s">
        <v>138</v>
      </c>
      <c r="B20" s="49" t="s">
        <v>115</v>
      </c>
      <c r="C20" s="50" t="s">
        <v>117</v>
      </c>
      <c r="D20" s="51">
        <v>366000</v>
      </c>
      <c r="E20" s="52">
        <v>-77200</v>
      </c>
      <c r="F20" s="51">
        <v>288800</v>
      </c>
      <c r="G20" s="51">
        <v>243660.32</v>
      </c>
      <c r="H20" s="51">
        <v>0</v>
      </c>
      <c r="I20" s="51">
        <v>243660.32</v>
      </c>
      <c r="J20" s="52">
        <v>-45139.68</v>
      </c>
      <c r="K20" s="53">
        <v>0.84369916897506925</v>
      </c>
      <c r="L20" s="51">
        <v>293050.90666600002</v>
      </c>
      <c r="M20" s="52">
        <v>-41961</v>
      </c>
      <c r="N20" s="51">
        <v>251089.906666</v>
      </c>
      <c r="O20" s="52">
        <v>-37710.093333999997</v>
      </c>
      <c r="P20" s="54">
        <v>0.86942488457756228</v>
      </c>
    </row>
    <row r="21" spans="1:19" ht="15.75" customHeight="1" x14ac:dyDescent="0.25">
      <c r="A21" s="48" t="s">
        <v>138</v>
      </c>
      <c r="B21" s="49" t="s">
        <v>139</v>
      </c>
      <c r="C21" s="50" t="s">
        <v>66</v>
      </c>
      <c r="D21" s="51">
        <v>603000</v>
      </c>
      <c r="E21" s="51">
        <v>0</v>
      </c>
      <c r="F21" s="51">
        <v>603000</v>
      </c>
      <c r="G21" s="51">
        <v>591106.02</v>
      </c>
      <c r="H21" s="51">
        <v>0</v>
      </c>
      <c r="I21" s="51">
        <v>591106.02</v>
      </c>
      <c r="J21" s="52">
        <v>-11893.98</v>
      </c>
      <c r="K21" s="53">
        <v>0.98027532338308454</v>
      </c>
      <c r="L21" s="51">
        <v>797453.38666600001</v>
      </c>
      <c r="M21" s="52">
        <v>-183005</v>
      </c>
      <c r="N21" s="51">
        <v>614448.38666600001</v>
      </c>
      <c r="O21" s="51">
        <v>11448.386666</v>
      </c>
      <c r="P21" s="54">
        <v>1.0189857158640132</v>
      </c>
    </row>
    <row r="22" spans="1:19" ht="15.75" customHeight="1" x14ac:dyDescent="0.25">
      <c r="A22" s="48" t="s">
        <v>138</v>
      </c>
      <c r="B22" s="49" t="s">
        <v>139</v>
      </c>
      <c r="C22" s="50" t="s">
        <v>67</v>
      </c>
      <c r="D22" s="51">
        <v>124500</v>
      </c>
      <c r="E22" s="51">
        <v>0</v>
      </c>
      <c r="F22" s="51">
        <v>124500</v>
      </c>
      <c r="G22" s="51">
        <v>84476.12</v>
      </c>
      <c r="H22" s="51">
        <v>0</v>
      </c>
      <c r="I22" s="51">
        <v>84476.12</v>
      </c>
      <c r="J22" s="52">
        <v>-40023.879999999997</v>
      </c>
      <c r="K22" s="53">
        <v>0.67852305220883535</v>
      </c>
      <c r="L22" s="51">
        <v>139902.50666700001</v>
      </c>
      <c r="M22" s="52">
        <v>-16500</v>
      </c>
      <c r="N22" s="51">
        <v>123402.50666699999</v>
      </c>
      <c r="O22" s="52">
        <v>-1097.4933329999999</v>
      </c>
      <c r="P22" s="54">
        <v>0.99118479250602409</v>
      </c>
    </row>
    <row r="23" spans="1:19" ht="15.75" customHeight="1" x14ac:dyDescent="0.25">
      <c r="A23" s="48" t="s">
        <v>138</v>
      </c>
      <c r="B23" s="49" t="s">
        <v>139</v>
      </c>
      <c r="C23" s="50" t="s">
        <v>68</v>
      </c>
      <c r="D23" s="51">
        <v>2840000</v>
      </c>
      <c r="E23" s="51">
        <v>0</v>
      </c>
      <c r="F23" s="51">
        <v>2840000</v>
      </c>
      <c r="G23" s="51">
        <v>2809975.95</v>
      </c>
      <c r="H23" s="51">
        <v>0</v>
      </c>
      <c r="I23" s="51">
        <v>2809975.95</v>
      </c>
      <c r="J23" s="52">
        <v>-30024.05</v>
      </c>
      <c r="K23" s="53">
        <v>0.98942815140845075</v>
      </c>
      <c r="L23" s="51">
        <v>2890739.4066670001</v>
      </c>
      <c r="M23" s="51">
        <v>0</v>
      </c>
      <c r="N23" s="51">
        <v>2890739.4066670001</v>
      </c>
      <c r="O23" s="51">
        <v>50739.406667000003</v>
      </c>
      <c r="P23" s="54">
        <v>1.0178659882630281</v>
      </c>
    </row>
    <row r="24" spans="1:19" ht="15.75" customHeight="1" x14ac:dyDescent="0.25">
      <c r="A24" s="48" t="s">
        <v>138</v>
      </c>
      <c r="B24" s="49" t="s">
        <v>139</v>
      </c>
      <c r="C24" s="50" t="s">
        <v>69</v>
      </c>
      <c r="D24" s="51">
        <v>239359</v>
      </c>
      <c r="E24" s="51">
        <v>0</v>
      </c>
      <c r="F24" s="51">
        <v>239359</v>
      </c>
      <c r="G24" s="51">
        <v>67762.97</v>
      </c>
      <c r="H24" s="51">
        <v>0</v>
      </c>
      <c r="I24" s="51">
        <v>67762.97</v>
      </c>
      <c r="J24" s="52">
        <v>-171596.03</v>
      </c>
      <c r="K24" s="53">
        <v>0.28310182612728163</v>
      </c>
      <c r="L24" s="51">
        <v>208347.486664</v>
      </c>
      <c r="M24" s="51">
        <v>0</v>
      </c>
      <c r="N24" s="51">
        <v>208347.486664</v>
      </c>
      <c r="O24" s="52">
        <v>-31011.513336</v>
      </c>
      <c r="P24" s="54">
        <v>0.87043932613354835</v>
      </c>
    </row>
    <row r="25" spans="1:19" ht="15.75" customHeight="1" x14ac:dyDescent="0.25">
      <c r="A25" s="48" t="s">
        <v>138</v>
      </c>
      <c r="B25" s="49" t="s">
        <v>139</v>
      </c>
      <c r="C25" s="50" t="s">
        <v>70</v>
      </c>
      <c r="D25" s="51">
        <v>0</v>
      </c>
      <c r="E25" s="51">
        <v>0</v>
      </c>
      <c r="F25" s="51">
        <v>0</v>
      </c>
      <c r="G25" s="51">
        <v>2407</v>
      </c>
      <c r="H25" s="51">
        <v>0</v>
      </c>
      <c r="I25" s="51">
        <v>2407</v>
      </c>
      <c r="J25" s="51">
        <v>2407</v>
      </c>
      <c r="K25" s="53">
        <v>1</v>
      </c>
      <c r="L25" s="51">
        <v>3358.733334</v>
      </c>
      <c r="M25" s="51">
        <v>0</v>
      </c>
      <c r="N25" s="51">
        <v>3358.733334</v>
      </c>
      <c r="O25" s="51">
        <v>3358.733334</v>
      </c>
      <c r="P25" s="54">
        <v>1</v>
      </c>
    </row>
    <row r="26" spans="1:19" ht="15.75" customHeight="1" x14ac:dyDescent="0.25">
      <c r="A26" s="48" t="s">
        <v>138</v>
      </c>
      <c r="B26" s="49" t="s">
        <v>49</v>
      </c>
      <c r="C26" s="50" t="s">
        <v>51</v>
      </c>
      <c r="D26" s="51">
        <v>158666757</v>
      </c>
      <c r="E26" s="51">
        <v>4542050</v>
      </c>
      <c r="F26" s="51">
        <v>163208807</v>
      </c>
      <c r="G26" s="51">
        <v>101255051.91</v>
      </c>
      <c r="H26" s="51">
        <v>0</v>
      </c>
      <c r="I26" s="51">
        <v>101255051.91</v>
      </c>
      <c r="J26" s="52">
        <v>-61953755.090000004</v>
      </c>
      <c r="K26" s="53">
        <v>0.62040188744226288</v>
      </c>
      <c r="L26" s="51">
        <v>157155903.36666301</v>
      </c>
      <c r="M26" s="51">
        <v>7995938</v>
      </c>
      <c r="N26" s="51">
        <v>165151841.36666301</v>
      </c>
      <c r="O26" s="51">
        <v>1943034.3666630001</v>
      </c>
      <c r="P26" s="54">
        <v>1.0119052053769562</v>
      </c>
      <c r="R26" s="56"/>
      <c r="S26" s="56"/>
    </row>
    <row r="27" spans="1:19" ht="15.75" customHeight="1" x14ac:dyDescent="0.25">
      <c r="A27" s="48" t="s">
        <v>138</v>
      </c>
      <c r="B27" s="49" t="s">
        <v>91</v>
      </c>
      <c r="C27" s="50" t="s">
        <v>92</v>
      </c>
      <c r="D27" s="51">
        <v>5612825</v>
      </c>
      <c r="E27" s="51">
        <v>55166</v>
      </c>
      <c r="F27" s="51">
        <v>5667991</v>
      </c>
      <c r="G27" s="51">
        <v>3798901.84</v>
      </c>
      <c r="H27" s="51">
        <v>0</v>
      </c>
      <c r="I27" s="51">
        <v>3798901.84</v>
      </c>
      <c r="J27" s="52">
        <v>-1869089.16</v>
      </c>
      <c r="K27" s="53">
        <v>0.67023780383560949</v>
      </c>
      <c r="L27" s="51">
        <v>3909014.989999</v>
      </c>
      <c r="M27" s="51">
        <v>1803991</v>
      </c>
      <c r="N27" s="51">
        <v>5713005.989999</v>
      </c>
      <c r="O27" s="51">
        <v>45014.989998999998</v>
      </c>
      <c r="P27" s="54">
        <v>1.0079419656804325</v>
      </c>
    </row>
    <row r="28" spans="1:19" ht="15.75" customHeight="1" x14ac:dyDescent="0.25">
      <c r="A28" s="48" t="s">
        <v>138</v>
      </c>
      <c r="B28" s="49" t="s">
        <v>91</v>
      </c>
      <c r="C28" s="50" t="s">
        <v>93</v>
      </c>
      <c r="D28" s="51">
        <v>358500</v>
      </c>
      <c r="E28" s="51">
        <v>0</v>
      </c>
      <c r="F28" s="51">
        <v>358500</v>
      </c>
      <c r="G28" s="51">
        <v>363076.01</v>
      </c>
      <c r="H28" s="51">
        <v>0</v>
      </c>
      <c r="I28" s="51">
        <v>363076.01</v>
      </c>
      <c r="J28" s="51">
        <v>4576.01</v>
      </c>
      <c r="K28" s="53">
        <v>1.0127643235704324</v>
      </c>
      <c r="L28" s="51">
        <v>601052.35333399998</v>
      </c>
      <c r="M28" s="51">
        <v>0</v>
      </c>
      <c r="N28" s="51">
        <v>601052.35333399998</v>
      </c>
      <c r="O28" s="51">
        <v>242552.35333400001</v>
      </c>
      <c r="P28" s="54">
        <v>1.6765756020474198</v>
      </c>
    </row>
    <row r="29" spans="1:19" ht="15.75" customHeight="1" x14ac:dyDescent="0.25">
      <c r="A29" s="48" t="s">
        <v>138</v>
      </c>
      <c r="B29" s="49" t="s">
        <v>87</v>
      </c>
      <c r="C29" s="50" t="s">
        <v>88</v>
      </c>
      <c r="D29" s="51">
        <v>4457953</v>
      </c>
      <c r="E29" s="51">
        <v>0</v>
      </c>
      <c r="F29" s="51">
        <v>4457953</v>
      </c>
      <c r="G29" s="51">
        <v>156457.59</v>
      </c>
      <c r="H29" s="51">
        <v>0</v>
      </c>
      <c r="I29" s="51">
        <v>156457.59</v>
      </c>
      <c r="J29" s="52">
        <v>-4301495.41</v>
      </c>
      <c r="K29" s="53">
        <v>3.5096285223285215E-2</v>
      </c>
      <c r="L29" s="51">
        <v>3861487.3999990001</v>
      </c>
      <c r="M29" s="51">
        <v>0</v>
      </c>
      <c r="N29" s="51">
        <v>3861487.3999990001</v>
      </c>
      <c r="O29" s="52">
        <v>-596465.60000099998</v>
      </c>
      <c r="P29" s="54">
        <v>0.86620190926171725</v>
      </c>
    </row>
    <row r="30" spans="1:19" ht="15.75" customHeight="1" x14ac:dyDescent="0.25">
      <c r="A30" s="48" t="s">
        <v>138</v>
      </c>
      <c r="B30" s="57" t="s">
        <v>140</v>
      </c>
      <c r="C30" s="50" t="s">
        <v>102</v>
      </c>
      <c r="D30" s="51">
        <v>145000</v>
      </c>
      <c r="E30" s="51">
        <v>0</v>
      </c>
      <c r="F30" s="51">
        <v>145000</v>
      </c>
      <c r="G30" s="51">
        <v>143599.65</v>
      </c>
      <c r="H30" s="51">
        <v>0</v>
      </c>
      <c r="I30" s="51">
        <v>143599.65</v>
      </c>
      <c r="J30" s="52">
        <v>-1400.35</v>
      </c>
      <c r="K30" s="53">
        <v>0.99034241379310339</v>
      </c>
      <c r="L30" s="51">
        <v>147726.93999899999</v>
      </c>
      <c r="M30" s="51">
        <v>0</v>
      </c>
      <c r="N30" s="51">
        <v>147726.93999899999</v>
      </c>
      <c r="O30" s="51">
        <v>2726.9399990000002</v>
      </c>
      <c r="P30" s="54">
        <v>1.018806482751724</v>
      </c>
    </row>
    <row r="31" spans="1:19" ht="15.75" customHeight="1" x14ac:dyDescent="0.25">
      <c r="A31" s="48" t="s">
        <v>138</v>
      </c>
      <c r="B31" s="49" t="s">
        <v>103</v>
      </c>
      <c r="C31" s="50" t="s">
        <v>104</v>
      </c>
      <c r="D31" s="51">
        <v>314000</v>
      </c>
      <c r="E31" s="51">
        <v>0</v>
      </c>
      <c r="F31" s="51">
        <v>314000</v>
      </c>
      <c r="G31" s="51">
        <v>310756.75</v>
      </c>
      <c r="H31" s="51">
        <v>0</v>
      </c>
      <c r="I31" s="51">
        <v>310756.75</v>
      </c>
      <c r="J31" s="52">
        <v>-3243.25</v>
      </c>
      <c r="K31" s="53">
        <v>0.98967117834394902</v>
      </c>
      <c r="L31" s="51">
        <v>319688.436667</v>
      </c>
      <c r="M31" s="51">
        <v>0</v>
      </c>
      <c r="N31" s="51">
        <v>319688.436667</v>
      </c>
      <c r="O31" s="51">
        <v>5688.4366669999999</v>
      </c>
      <c r="P31" s="54">
        <v>1.0181160403407643</v>
      </c>
    </row>
    <row r="32" spans="1:19" ht="15.75" customHeight="1" x14ac:dyDescent="0.25">
      <c r="A32" s="48" t="s">
        <v>138</v>
      </c>
      <c r="B32" s="49" t="s">
        <v>98</v>
      </c>
      <c r="C32" s="50" t="s">
        <v>100</v>
      </c>
      <c r="D32" s="51">
        <v>348000</v>
      </c>
      <c r="E32" s="51">
        <v>0</v>
      </c>
      <c r="F32" s="51">
        <v>348000</v>
      </c>
      <c r="G32" s="51">
        <v>344379.76</v>
      </c>
      <c r="H32" s="51">
        <v>0</v>
      </c>
      <c r="I32" s="51">
        <v>344379.76</v>
      </c>
      <c r="J32" s="52">
        <v>-3620.24</v>
      </c>
      <c r="K32" s="53">
        <v>0.98959701149425283</v>
      </c>
      <c r="L32" s="51">
        <v>354277.873333</v>
      </c>
      <c r="M32" s="51">
        <v>0</v>
      </c>
      <c r="N32" s="51">
        <v>354277.873333</v>
      </c>
      <c r="O32" s="51">
        <v>6277.8733329999995</v>
      </c>
      <c r="P32" s="54">
        <v>1.0180398658994252</v>
      </c>
    </row>
    <row r="33" spans="1:16" ht="15.75" customHeight="1" x14ac:dyDescent="0.25">
      <c r="A33" s="48" t="s">
        <v>138</v>
      </c>
      <c r="B33" s="49" t="s">
        <v>75</v>
      </c>
      <c r="C33" s="50" t="s">
        <v>76</v>
      </c>
      <c r="D33" s="51">
        <v>2746702</v>
      </c>
      <c r="E33" s="51">
        <v>0</v>
      </c>
      <c r="F33" s="51">
        <v>2746702</v>
      </c>
      <c r="G33" s="51">
        <v>559859.18000000005</v>
      </c>
      <c r="H33" s="51">
        <v>0</v>
      </c>
      <c r="I33" s="51">
        <v>559859.18000000005</v>
      </c>
      <c r="J33" s="52">
        <v>-2186842.8199999998</v>
      </c>
      <c r="K33" s="53">
        <v>0.20382960364830258</v>
      </c>
      <c r="L33" s="51">
        <v>1773126.289997</v>
      </c>
      <c r="M33" s="51">
        <v>918361</v>
      </c>
      <c r="N33" s="51">
        <v>2691487.2899969998</v>
      </c>
      <c r="O33" s="52">
        <v>-55214.710003</v>
      </c>
      <c r="P33" s="54">
        <v>0.97989781563380374</v>
      </c>
    </row>
    <row r="34" spans="1:16" ht="15.75" customHeight="1" x14ac:dyDescent="0.25">
      <c r="A34" s="48" t="s">
        <v>138</v>
      </c>
      <c r="B34" s="49" t="s">
        <v>75</v>
      </c>
      <c r="C34" s="50" t="s">
        <v>78</v>
      </c>
      <c r="D34" s="51">
        <v>20000</v>
      </c>
      <c r="E34" s="51">
        <v>0</v>
      </c>
      <c r="F34" s="51">
        <v>20000</v>
      </c>
      <c r="G34" s="51">
        <v>0</v>
      </c>
      <c r="H34" s="51">
        <v>0</v>
      </c>
      <c r="I34" s="51">
        <v>0</v>
      </c>
      <c r="J34" s="52">
        <v>-20000</v>
      </c>
      <c r="K34" s="53">
        <v>0</v>
      </c>
      <c r="L34" s="51">
        <v>1528</v>
      </c>
      <c r="M34" s="51">
        <v>0</v>
      </c>
      <c r="N34" s="51">
        <v>1528</v>
      </c>
      <c r="O34" s="52">
        <v>-18472</v>
      </c>
      <c r="P34" s="54">
        <v>7.6399999999999996E-2</v>
      </c>
    </row>
    <row r="35" spans="1:16" ht="15.75" customHeight="1" x14ac:dyDescent="0.25">
      <c r="A35" s="48" t="s">
        <v>138</v>
      </c>
      <c r="B35" s="49" t="s">
        <v>75</v>
      </c>
      <c r="C35" s="50" t="s">
        <v>79</v>
      </c>
      <c r="D35" s="51">
        <v>1196000</v>
      </c>
      <c r="E35" s="51">
        <v>0</v>
      </c>
      <c r="F35" s="51">
        <v>1196000</v>
      </c>
      <c r="G35" s="51">
        <v>834076.09</v>
      </c>
      <c r="H35" s="51">
        <v>0</v>
      </c>
      <c r="I35" s="51">
        <v>834076.09</v>
      </c>
      <c r="J35" s="52">
        <v>-361923.91</v>
      </c>
      <c r="K35" s="53">
        <v>0.69738803511705683</v>
      </c>
      <c r="L35" s="51">
        <v>1328598.1566659999</v>
      </c>
      <c r="M35" s="51">
        <v>0</v>
      </c>
      <c r="N35" s="51">
        <v>1328598.1566659999</v>
      </c>
      <c r="O35" s="51">
        <v>132598.156666</v>
      </c>
      <c r="P35" s="54">
        <v>1.1108680239682274</v>
      </c>
    </row>
    <row r="36" spans="1:16" ht="15.75" customHeight="1" x14ac:dyDescent="0.25">
      <c r="A36" s="48" t="s">
        <v>138</v>
      </c>
      <c r="B36" s="49" t="s">
        <v>75</v>
      </c>
      <c r="C36" s="50" t="s">
        <v>80</v>
      </c>
      <c r="D36" s="51">
        <v>1500</v>
      </c>
      <c r="E36" s="51">
        <v>0</v>
      </c>
      <c r="F36" s="51">
        <v>1500</v>
      </c>
      <c r="G36" s="51">
        <v>0</v>
      </c>
      <c r="H36" s="51">
        <v>0</v>
      </c>
      <c r="I36" s="51">
        <v>0</v>
      </c>
      <c r="J36" s="52">
        <v>-1500</v>
      </c>
      <c r="K36" s="53">
        <v>0</v>
      </c>
      <c r="L36" s="51">
        <v>0</v>
      </c>
      <c r="M36" s="51">
        <v>0</v>
      </c>
      <c r="N36" s="51">
        <v>0</v>
      </c>
      <c r="O36" s="52">
        <v>-1500</v>
      </c>
      <c r="P36" s="54">
        <v>0</v>
      </c>
    </row>
    <row r="37" spans="1:16" ht="15.75" customHeight="1" x14ac:dyDescent="0.25">
      <c r="A37" s="48" t="s">
        <v>138</v>
      </c>
      <c r="B37" s="49" t="s">
        <v>75</v>
      </c>
      <c r="C37" s="50" t="s">
        <v>81</v>
      </c>
      <c r="D37" s="51">
        <v>418000</v>
      </c>
      <c r="E37" s="51">
        <v>0</v>
      </c>
      <c r="F37" s="51">
        <v>418000</v>
      </c>
      <c r="G37" s="51">
        <v>446577.48</v>
      </c>
      <c r="H37" s="51">
        <v>0</v>
      </c>
      <c r="I37" s="51">
        <v>446577.48</v>
      </c>
      <c r="J37" s="51">
        <v>28577.48</v>
      </c>
      <c r="K37" s="53">
        <v>1.0683671770334928</v>
      </c>
      <c r="L37" s="51">
        <v>481994.11999899999</v>
      </c>
      <c r="M37" s="51">
        <v>0</v>
      </c>
      <c r="N37" s="51">
        <v>481994.11999899999</v>
      </c>
      <c r="O37" s="51">
        <v>63994.119999000002</v>
      </c>
      <c r="P37" s="54">
        <v>1.1530959808588517</v>
      </c>
    </row>
    <row r="38" spans="1:16" ht="15.75" customHeight="1" x14ac:dyDescent="0.25">
      <c r="A38" s="48" t="s">
        <v>138</v>
      </c>
      <c r="B38" s="49" t="s">
        <v>75</v>
      </c>
      <c r="C38" s="50" t="s">
        <v>82</v>
      </c>
      <c r="D38" s="51">
        <v>35000</v>
      </c>
      <c r="E38" s="51">
        <v>0</v>
      </c>
      <c r="F38" s="51">
        <v>35000</v>
      </c>
      <c r="G38" s="51">
        <v>41897.33</v>
      </c>
      <c r="H38" s="51">
        <v>0</v>
      </c>
      <c r="I38" s="51">
        <v>41897.33</v>
      </c>
      <c r="J38" s="51">
        <v>6897.33</v>
      </c>
      <c r="K38" s="53">
        <v>1.1970665714285715</v>
      </c>
      <c r="L38" s="51">
        <v>59705.303333000003</v>
      </c>
      <c r="M38" s="51">
        <v>0</v>
      </c>
      <c r="N38" s="51">
        <v>59705.303333000003</v>
      </c>
      <c r="O38" s="51">
        <v>24705.303333</v>
      </c>
      <c r="P38" s="54">
        <v>1.7058658095142858</v>
      </c>
    </row>
    <row r="39" spans="1:16" ht="15.75" customHeight="1" x14ac:dyDescent="0.25">
      <c r="A39" s="48" t="s">
        <v>138</v>
      </c>
      <c r="B39" s="49" t="s">
        <v>94</v>
      </c>
      <c r="C39" s="50" t="s">
        <v>95</v>
      </c>
      <c r="D39" s="51">
        <v>367000</v>
      </c>
      <c r="E39" s="51">
        <v>0</v>
      </c>
      <c r="F39" s="51">
        <v>367000</v>
      </c>
      <c r="G39" s="51">
        <v>359675.65</v>
      </c>
      <c r="H39" s="51">
        <v>0</v>
      </c>
      <c r="I39" s="51">
        <v>359675.65</v>
      </c>
      <c r="J39" s="52">
        <v>-7324.35</v>
      </c>
      <c r="K39" s="53">
        <v>0.98004264305177113</v>
      </c>
      <c r="L39" s="51">
        <v>374028.34999900003</v>
      </c>
      <c r="M39" s="51">
        <v>0</v>
      </c>
      <c r="N39" s="51">
        <v>374028.34999900003</v>
      </c>
      <c r="O39" s="51">
        <v>7028.349999</v>
      </c>
      <c r="P39" s="54">
        <v>1.0191508174359674</v>
      </c>
    </row>
    <row r="40" spans="1:16" ht="15.75" customHeight="1" x14ac:dyDescent="0.25">
      <c r="A40" s="48" t="s">
        <v>138</v>
      </c>
      <c r="B40" s="49" t="s">
        <v>15</v>
      </c>
      <c r="C40" s="50" t="s">
        <v>84</v>
      </c>
      <c r="D40" s="51">
        <v>941273</v>
      </c>
      <c r="E40" s="51">
        <v>0</v>
      </c>
      <c r="F40" s="51">
        <v>941273</v>
      </c>
      <c r="G40" s="51">
        <v>670749.81000000006</v>
      </c>
      <c r="H40" s="51">
        <v>0</v>
      </c>
      <c r="I40" s="51">
        <v>670749.81000000006</v>
      </c>
      <c r="J40" s="52">
        <v>-270523.19</v>
      </c>
      <c r="K40" s="53">
        <v>0.712598587232397</v>
      </c>
      <c r="L40" s="51">
        <v>1007868.936668</v>
      </c>
      <c r="M40" s="52">
        <v>-122303</v>
      </c>
      <c r="N40" s="51">
        <v>885565.93666799995</v>
      </c>
      <c r="O40" s="52">
        <v>-55707.063331999998</v>
      </c>
      <c r="P40" s="54">
        <v>0.94081731513386657</v>
      </c>
    </row>
    <row r="41" spans="1:16" ht="15.75" customHeight="1" x14ac:dyDescent="0.25">
      <c r="A41" s="48" t="s">
        <v>138</v>
      </c>
      <c r="B41" s="49" t="s">
        <v>15</v>
      </c>
      <c r="C41" s="50" t="s">
        <v>85</v>
      </c>
      <c r="D41" s="51">
        <v>100168</v>
      </c>
      <c r="E41" s="51">
        <v>0</v>
      </c>
      <c r="F41" s="51">
        <v>100168</v>
      </c>
      <c r="G41" s="51">
        <v>69074</v>
      </c>
      <c r="H41" s="51">
        <v>0</v>
      </c>
      <c r="I41" s="51">
        <v>69074</v>
      </c>
      <c r="J41" s="52">
        <v>-31094</v>
      </c>
      <c r="K41" s="53">
        <v>0.68958150307483423</v>
      </c>
      <c r="L41" s="51">
        <v>114367.446667</v>
      </c>
      <c r="M41" s="52">
        <v>-14199</v>
      </c>
      <c r="N41" s="51">
        <v>100168.446667</v>
      </c>
      <c r="O41" s="51">
        <v>0.44666699999999998</v>
      </c>
      <c r="P41" s="54">
        <v>1.0000044591785799</v>
      </c>
    </row>
    <row r="42" spans="1:16" ht="15.75" customHeight="1" x14ac:dyDescent="0.25">
      <c r="A42" s="48" t="s">
        <v>138</v>
      </c>
      <c r="B42" s="49" t="s">
        <v>15</v>
      </c>
      <c r="C42" s="50" t="s">
        <v>86</v>
      </c>
      <c r="D42" s="51">
        <v>201400</v>
      </c>
      <c r="E42" s="51">
        <v>0</v>
      </c>
      <c r="F42" s="51">
        <v>201400</v>
      </c>
      <c r="G42" s="51">
        <v>84727.3</v>
      </c>
      <c r="H42" s="51">
        <v>0</v>
      </c>
      <c r="I42" s="51">
        <v>84727.3</v>
      </c>
      <c r="J42" s="52">
        <v>-116672.7</v>
      </c>
      <c r="K42" s="53">
        <v>0.42069165839126116</v>
      </c>
      <c r="L42" s="51">
        <v>218904.63333400001</v>
      </c>
      <c r="M42" s="52">
        <v>-12905</v>
      </c>
      <c r="N42" s="51">
        <v>205999.63333400001</v>
      </c>
      <c r="O42" s="51">
        <v>4599.6333340000001</v>
      </c>
      <c r="P42" s="54">
        <v>1.0228382985799405</v>
      </c>
    </row>
    <row r="43" spans="1:16" ht="15.75" customHeight="1" x14ac:dyDescent="0.25">
      <c r="A43" s="48" t="s">
        <v>138</v>
      </c>
      <c r="B43" s="49" t="s">
        <v>112</v>
      </c>
      <c r="C43" s="50" t="s">
        <v>113</v>
      </c>
      <c r="D43" s="51">
        <v>74713</v>
      </c>
      <c r="E43" s="51">
        <v>0</v>
      </c>
      <c r="F43" s="51">
        <v>74713</v>
      </c>
      <c r="G43" s="52">
        <v>-51400.4</v>
      </c>
      <c r="H43" s="51">
        <v>0</v>
      </c>
      <c r="I43" s="52">
        <v>-51400.4</v>
      </c>
      <c r="J43" s="52">
        <v>-126113.4</v>
      </c>
      <c r="K43" s="55">
        <v>-0.68797130352147551</v>
      </c>
      <c r="L43" s="51">
        <v>83005.976666000002</v>
      </c>
      <c r="M43" s="51">
        <v>0</v>
      </c>
      <c r="N43" s="51">
        <v>83005.976666000002</v>
      </c>
      <c r="O43" s="51">
        <v>8292.9766660000005</v>
      </c>
      <c r="P43" s="54">
        <v>1.1109977736940024</v>
      </c>
    </row>
    <row r="44" spans="1:16" ht="15.75" customHeight="1" x14ac:dyDescent="0.25">
      <c r="A44" s="48" t="s">
        <v>138</v>
      </c>
      <c r="B44" s="49" t="s">
        <v>112</v>
      </c>
      <c r="C44" s="50" t="s">
        <v>114</v>
      </c>
      <c r="D44" s="51">
        <v>969000</v>
      </c>
      <c r="E44" s="51">
        <v>0</v>
      </c>
      <c r="F44" s="51">
        <v>969000</v>
      </c>
      <c r="G44" s="51">
        <v>668449.73</v>
      </c>
      <c r="H44" s="51">
        <v>0</v>
      </c>
      <c r="I44" s="51">
        <v>668449.73</v>
      </c>
      <c r="J44" s="52">
        <v>-300550.27</v>
      </c>
      <c r="K44" s="53">
        <v>0.68983460268317853</v>
      </c>
      <c r="L44" s="51">
        <v>898072.34333399998</v>
      </c>
      <c r="M44" s="51">
        <v>0</v>
      </c>
      <c r="N44" s="51">
        <v>898072.34333399998</v>
      </c>
      <c r="O44" s="52">
        <v>-70927.656665999995</v>
      </c>
      <c r="P44" s="54">
        <v>0.92680324389473689</v>
      </c>
    </row>
    <row r="45" spans="1:16" ht="15.75" customHeight="1" x14ac:dyDescent="0.25">
      <c r="A45" s="48" t="s">
        <v>138</v>
      </c>
      <c r="B45" s="49" t="s">
        <v>105</v>
      </c>
      <c r="C45" s="50" t="s">
        <v>106</v>
      </c>
      <c r="D45" s="51">
        <v>853000</v>
      </c>
      <c r="E45" s="51">
        <v>0</v>
      </c>
      <c r="F45" s="51">
        <v>853000</v>
      </c>
      <c r="G45" s="51">
        <v>430000</v>
      </c>
      <c r="H45" s="51">
        <v>0</v>
      </c>
      <c r="I45" s="51">
        <v>430000</v>
      </c>
      <c r="J45" s="52">
        <v>-423000</v>
      </c>
      <c r="K45" s="53">
        <v>0.50410316529894494</v>
      </c>
      <c r="L45" s="51">
        <v>430000</v>
      </c>
      <c r="M45" s="51">
        <v>423000</v>
      </c>
      <c r="N45" s="51">
        <v>853000</v>
      </c>
      <c r="O45" s="51">
        <v>0</v>
      </c>
      <c r="P45" s="54">
        <v>1</v>
      </c>
    </row>
    <row r="46" spans="1:16" ht="15.75" customHeight="1" x14ac:dyDescent="0.25">
      <c r="A46" s="48" t="s">
        <v>138</v>
      </c>
      <c r="B46" s="49" t="s">
        <v>105</v>
      </c>
      <c r="C46" s="50" t="s">
        <v>109</v>
      </c>
      <c r="D46" s="51">
        <v>100000</v>
      </c>
      <c r="E46" s="51">
        <v>0</v>
      </c>
      <c r="F46" s="51">
        <v>100000</v>
      </c>
      <c r="G46" s="51">
        <v>100000</v>
      </c>
      <c r="H46" s="51">
        <v>0</v>
      </c>
      <c r="I46" s="51">
        <v>100000</v>
      </c>
      <c r="J46" s="51">
        <v>0</v>
      </c>
      <c r="K46" s="53">
        <v>1</v>
      </c>
      <c r="L46" s="51">
        <v>100000</v>
      </c>
      <c r="M46" s="51">
        <v>0</v>
      </c>
      <c r="N46" s="51">
        <v>100000</v>
      </c>
      <c r="O46" s="51">
        <v>0</v>
      </c>
      <c r="P46" s="54">
        <v>1</v>
      </c>
    </row>
    <row r="47" spans="1:16" ht="15.75" customHeight="1" x14ac:dyDescent="0.25">
      <c r="A47" s="48" t="s">
        <v>138</v>
      </c>
      <c r="B47" s="49" t="s">
        <v>105</v>
      </c>
      <c r="C47" s="50" t="s">
        <v>111</v>
      </c>
      <c r="D47" s="51">
        <v>2000</v>
      </c>
      <c r="E47" s="51">
        <v>0</v>
      </c>
      <c r="F47" s="51">
        <v>2000</v>
      </c>
      <c r="G47" s="51">
        <v>2000</v>
      </c>
      <c r="H47" s="51">
        <v>0</v>
      </c>
      <c r="I47" s="51">
        <v>2000</v>
      </c>
      <c r="J47" s="51">
        <v>0</v>
      </c>
      <c r="K47" s="53">
        <v>1</v>
      </c>
      <c r="L47" s="51">
        <v>2000</v>
      </c>
      <c r="M47" s="51">
        <v>0</v>
      </c>
      <c r="N47" s="51">
        <v>2000</v>
      </c>
      <c r="O47" s="51">
        <v>0</v>
      </c>
      <c r="P47" s="54">
        <v>1</v>
      </c>
    </row>
    <row r="48" spans="1:16" ht="15.75" customHeight="1" x14ac:dyDescent="0.25">
      <c r="A48" s="48" t="s">
        <v>138</v>
      </c>
      <c r="B48" s="49" t="s">
        <v>72</v>
      </c>
      <c r="C48" s="50" t="s">
        <v>73</v>
      </c>
      <c r="D48" s="51">
        <v>200000</v>
      </c>
      <c r="E48" s="51">
        <v>0</v>
      </c>
      <c r="F48" s="51">
        <v>200000</v>
      </c>
      <c r="G48" s="51">
        <v>86676.800000000003</v>
      </c>
      <c r="H48" s="51">
        <v>0</v>
      </c>
      <c r="I48" s="51">
        <v>86676.800000000003</v>
      </c>
      <c r="J48" s="52">
        <v>-113323.2</v>
      </c>
      <c r="K48" s="53">
        <v>0.43338399999999999</v>
      </c>
      <c r="L48" s="51">
        <v>145110.29</v>
      </c>
      <c r="M48" s="51">
        <v>0</v>
      </c>
      <c r="N48" s="51">
        <v>145110.29</v>
      </c>
      <c r="O48" s="52">
        <v>-54889.71</v>
      </c>
      <c r="P48" s="54">
        <v>0.72555144999999999</v>
      </c>
    </row>
    <row r="49" spans="1:16" ht="15.75" customHeight="1" x14ac:dyDescent="0.25">
      <c r="A49" s="48" t="s">
        <v>141</v>
      </c>
      <c r="B49" s="49" t="s">
        <v>139</v>
      </c>
      <c r="C49" s="50" t="s">
        <v>53</v>
      </c>
      <c r="D49" s="51">
        <v>49750</v>
      </c>
      <c r="E49" s="51">
        <v>0</v>
      </c>
      <c r="F49" s="51">
        <v>49750</v>
      </c>
      <c r="G49" s="51">
        <v>55116.88</v>
      </c>
      <c r="H49" s="51">
        <v>0</v>
      </c>
      <c r="I49" s="51">
        <v>55116.88</v>
      </c>
      <c r="J49" s="52">
        <v>-5366.88</v>
      </c>
      <c r="K49" s="53">
        <v>1.1078769849246231</v>
      </c>
      <c r="L49" s="51">
        <v>71047.063330999998</v>
      </c>
      <c r="M49" s="51">
        <v>0</v>
      </c>
      <c r="N49" s="51">
        <v>71047.063330999998</v>
      </c>
      <c r="O49" s="52">
        <v>-21297.063331000001</v>
      </c>
      <c r="P49" s="54">
        <v>1.428081674994975</v>
      </c>
    </row>
    <row r="50" spans="1:16" ht="15.75" customHeight="1" x14ac:dyDescent="0.25">
      <c r="A50" s="48" t="s">
        <v>141</v>
      </c>
      <c r="B50" s="49" t="s">
        <v>139</v>
      </c>
      <c r="C50" s="50" t="s">
        <v>54</v>
      </c>
      <c r="D50" s="51">
        <v>0</v>
      </c>
      <c r="E50" s="51">
        <v>0</v>
      </c>
      <c r="F50" s="51">
        <v>0</v>
      </c>
      <c r="G50" s="51">
        <v>1763.57</v>
      </c>
      <c r="H50" s="51">
        <v>0</v>
      </c>
      <c r="I50" s="51">
        <v>1763.57</v>
      </c>
      <c r="J50" s="52">
        <v>-1763.57</v>
      </c>
      <c r="K50" s="55">
        <v>-1</v>
      </c>
      <c r="L50" s="51">
        <v>2400.9299999999998</v>
      </c>
      <c r="M50" s="51">
        <v>0</v>
      </c>
      <c r="N50" s="51">
        <v>2400.9299999999998</v>
      </c>
      <c r="O50" s="52">
        <v>-2400.9299999999998</v>
      </c>
      <c r="P50" s="58">
        <v>-1</v>
      </c>
    </row>
    <row r="51" spans="1:16" ht="15.75" customHeight="1" x14ac:dyDescent="0.25">
      <c r="A51" s="48" t="s">
        <v>141</v>
      </c>
      <c r="B51" s="49" t="s">
        <v>139</v>
      </c>
      <c r="C51" s="50" t="s">
        <v>55</v>
      </c>
      <c r="D51" s="51">
        <v>0</v>
      </c>
      <c r="E51" s="51">
        <v>0</v>
      </c>
      <c r="F51" s="51">
        <v>0</v>
      </c>
      <c r="G51" s="51">
        <v>921.28</v>
      </c>
      <c r="H51" s="51">
        <v>0</v>
      </c>
      <c r="I51" s="51">
        <v>921.28</v>
      </c>
      <c r="J51" s="52">
        <v>-921.28</v>
      </c>
      <c r="K51" s="55">
        <v>-1</v>
      </c>
      <c r="L51" s="51">
        <v>924.98333300000002</v>
      </c>
      <c r="M51" s="51">
        <v>0</v>
      </c>
      <c r="N51" s="51">
        <v>924.98333300000002</v>
      </c>
      <c r="O51" s="52">
        <v>-924.98333300000002</v>
      </c>
      <c r="P51" s="58">
        <v>-1</v>
      </c>
    </row>
    <row r="52" spans="1:16" ht="15.75" customHeight="1" x14ac:dyDescent="0.25">
      <c r="A52" s="48" t="s">
        <v>141</v>
      </c>
      <c r="B52" s="49" t="s">
        <v>139</v>
      </c>
      <c r="C52" s="50" t="s">
        <v>56</v>
      </c>
      <c r="D52" s="51">
        <v>0</v>
      </c>
      <c r="E52" s="51">
        <v>0</v>
      </c>
      <c r="F52" s="51">
        <v>0</v>
      </c>
      <c r="G52" s="52">
        <v>-953.88</v>
      </c>
      <c r="H52" s="51">
        <v>0</v>
      </c>
      <c r="I52" s="52">
        <v>-953.88</v>
      </c>
      <c r="J52" s="51">
        <v>953.88</v>
      </c>
      <c r="K52" s="55">
        <v>-1</v>
      </c>
      <c r="L52" s="51">
        <v>1516.8699979999999</v>
      </c>
      <c r="M52" s="51">
        <v>0</v>
      </c>
      <c r="N52" s="51">
        <v>1516.8699979999999</v>
      </c>
      <c r="O52" s="52">
        <v>-1516.8699979999999</v>
      </c>
      <c r="P52" s="58">
        <v>-1</v>
      </c>
    </row>
    <row r="53" spans="1:16" ht="15.75" customHeight="1" x14ac:dyDescent="0.25">
      <c r="A53" s="48" t="s">
        <v>141</v>
      </c>
      <c r="B53" s="49" t="s">
        <v>139</v>
      </c>
      <c r="C53" s="50" t="s">
        <v>57</v>
      </c>
      <c r="D53" s="51">
        <v>500</v>
      </c>
      <c r="E53" s="51">
        <v>0</v>
      </c>
      <c r="F53" s="51">
        <v>500</v>
      </c>
      <c r="G53" s="51">
        <v>5625.28</v>
      </c>
      <c r="H53" s="51">
        <v>0</v>
      </c>
      <c r="I53" s="51">
        <v>5625.28</v>
      </c>
      <c r="J53" s="52">
        <v>-5125.28</v>
      </c>
      <c r="K53" s="53">
        <v>9.99</v>
      </c>
      <c r="L53" s="51">
        <v>5659.2233329999999</v>
      </c>
      <c r="M53" s="51">
        <v>0</v>
      </c>
      <c r="N53" s="51">
        <v>5659.2233329999999</v>
      </c>
      <c r="O53" s="52">
        <v>-5159.2233329999999</v>
      </c>
      <c r="P53" s="54">
        <v>9.99</v>
      </c>
    </row>
    <row r="54" spans="1:16" ht="15.75" customHeight="1" x14ac:dyDescent="0.25">
      <c r="A54" s="48" t="s">
        <v>141</v>
      </c>
      <c r="B54" s="49" t="s">
        <v>139</v>
      </c>
      <c r="C54" s="50" t="s">
        <v>58</v>
      </c>
      <c r="D54" s="51">
        <v>0</v>
      </c>
      <c r="E54" s="51">
        <v>0</v>
      </c>
      <c r="F54" s="51">
        <v>0</v>
      </c>
      <c r="G54" s="51">
        <v>60.38</v>
      </c>
      <c r="H54" s="51">
        <v>0</v>
      </c>
      <c r="I54" s="51">
        <v>60.38</v>
      </c>
      <c r="J54" s="52">
        <v>-60.38</v>
      </c>
      <c r="K54" s="55">
        <v>-1</v>
      </c>
      <c r="L54" s="51">
        <v>63.29</v>
      </c>
      <c r="M54" s="51">
        <v>0</v>
      </c>
      <c r="N54" s="51">
        <v>63.29</v>
      </c>
      <c r="O54" s="52">
        <v>-63.29</v>
      </c>
      <c r="P54" s="58">
        <v>-1</v>
      </c>
    </row>
    <row r="55" spans="1:16" ht="15.75" customHeight="1" x14ac:dyDescent="0.25">
      <c r="A55" s="48" t="s">
        <v>141</v>
      </c>
      <c r="B55" s="49" t="s">
        <v>139</v>
      </c>
      <c r="C55" s="50" t="s">
        <v>59</v>
      </c>
      <c r="D55" s="51">
        <v>2000</v>
      </c>
      <c r="E55" s="51">
        <v>0</v>
      </c>
      <c r="F55" s="51">
        <v>2000</v>
      </c>
      <c r="G55" s="51">
        <v>467.43</v>
      </c>
      <c r="H55" s="51">
        <v>0</v>
      </c>
      <c r="I55" s="51">
        <v>467.43</v>
      </c>
      <c r="J55" s="51">
        <v>1532.57</v>
      </c>
      <c r="K55" s="53">
        <v>0.23371500000000001</v>
      </c>
      <c r="L55" s="51">
        <v>467.43</v>
      </c>
      <c r="M55" s="51">
        <v>0</v>
      </c>
      <c r="N55" s="51">
        <v>467.43</v>
      </c>
      <c r="O55" s="51">
        <v>1532.57</v>
      </c>
      <c r="P55" s="54">
        <v>0.23371500000000001</v>
      </c>
    </row>
    <row r="56" spans="1:16" ht="15.75" customHeight="1" x14ac:dyDescent="0.25">
      <c r="A56" s="48" t="s">
        <v>141</v>
      </c>
      <c r="B56" s="49" t="s">
        <v>139</v>
      </c>
      <c r="C56" s="50" t="s">
        <v>60</v>
      </c>
      <c r="D56" s="51">
        <v>0</v>
      </c>
      <c r="E56" s="51">
        <v>0</v>
      </c>
      <c r="F56" s="51">
        <v>0</v>
      </c>
      <c r="G56" s="52">
        <v>-1694.54</v>
      </c>
      <c r="H56" s="51">
        <v>0</v>
      </c>
      <c r="I56" s="52">
        <v>-1694.54</v>
      </c>
      <c r="J56" s="51">
        <v>1694.54</v>
      </c>
      <c r="K56" s="55">
        <v>-1</v>
      </c>
      <c r="L56" s="51">
        <v>1847.9166660000001</v>
      </c>
      <c r="M56" s="51">
        <v>0</v>
      </c>
      <c r="N56" s="51">
        <v>1847.9166660000001</v>
      </c>
      <c r="O56" s="52">
        <v>-1847.9166660000001</v>
      </c>
      <c r="P56" s="58">
        <v>-1</v>
      </c>
    </row>
    <row r="57" spans="1:16" ht="15.75" customHeight="1" x14ac:dyDescent="0.25">
      <c r="A57" s="48" t="s">
        <v>141</v>
      </c>
      <c r="B57" s="49" t="s">
        <v>139</v>
      </c>
      <c r="C57" s="50" t="s">
        <v>61</v>
      </c>
      <c r="D57" s="51">
        <v>0</v>
      </c>
      <c r="E57" s="51">
        <v>0</v>
      </c>
      <c r="F57" s="51">
        <v>0</v>
      </c>
      <c r="G57" s="51">
        <v>1615.58</v>
      </c>
      <c r="H57" s="51">
        <v>0</v>
      </c>
      <c r="I57" s="51">
        <v>1615.58</v>
      </c>
      <c r="J57" s="52">
        <v>-1615.58</v>
      </c>
      <c r="K57" s="55">
        <v>-1</v>
      </c>
      <c r="L57" s="51">
        <v>1619.083333</v>
      </c>
      <c r="M57" s="51">
        <v>0</v>
      </c>
      <c r="N57" s="51">
        <v>1619.083333</v>
      </c>
      <c r="O57" s="52">
        <v>-1619.083333</v>
      </c>
      <c r="P57" s="58">
        <v>-1</v>
      </c>
    </row>
    <row r="58" spans="1:16" ht="15.75" customHeight="1" x14ac:dyDescent="0.25">
      <c r="A58" s="48" t="s">
        <v>141</v>
      </c>
      <c r="B58" s="49" t="s">
        <v>139</v>
      </c>
      <c r="C58" s="50" t="s">
        <v>62</v>
      </c>
      <c r="D58" s="51">
        <v>0</v>
      </c>
      <c r="E58" s="51">
        <v>0</v>
      </c>
      <c r="F58" s="51">
        <v>0</v>
      </c>
      <c r="G58" s="51">
        <v>1690.45</v>
      </c>
      <c r="H58" s="51">
        <v>0</v>
      </c>
      <c r="I58" s="51">
        <v>1690.45</v>
      </c>
      <c r="J58" s="52">
        <v>-1690.45</v>
      </c>
      <c r="K58" s="55">
        <v>-1</v>
      </c>
      <c r="L58" s="51">
        <v>1691.756666</v>
      </c>
      <c r="M58" s="51">
        <v>0</v>
      </c>
      <c r="N58" s="51">
        <v>1691.756666</v>
      </c>
      <c r="O58" s="52">
        <v>-1691.756666</v>
      </c>
      <c r="P58" s="58">
        <v>-1</v>
      </c>
    </row>
    <row r="59" spans="1:16" ht="15.75" customHeight="1" x14ac:dyDescent="0.25">
      <c r="A59" s="48" t="s">
        <v>141</v>
      </c>
      <c r="B59" s="49" t="s">
        <v>139</v>
      </c>
      <c r="C59" s="50" t="s">
        <v>63</v>
      </c>
      <c r="D59" s="51">
        <v>150</v>
      </c>
      <c r="E59" s="51">
        <v>0</v>
      </c>
      <c r="F59" s="51">
        <v>150</v>
      </c>
      <c r="G59" s="51">
        <v>4794.83</v>
      </c>
      <c r="H59" s="51">
        <v>0</v>
      </c>
      <c r="I59" s="51">
        <v>4794.83</v>
      </c>
      <c r="J59" s="52">
        <v>-4644.83</v>
      </c>
      <c r="K59" s="53">
        <v>9.99</v>
      </c>
      <c r="L59" s="51">
        <v>4862.4066670000002</v>
      </c>
      <c r="M59" s="51">
        <v>0</v>
      </c>
      <c r="N59" s="51">
        <v>4862.4066670000002</v>
      </c>
      <c r="O59" s="52">
        <v>-4712.4066670000002</v>
      </c>
      <c r="P59" s="54">
        <v>9.99</v>
      </c>
    </row>
    <row r="60" spans="1:16" ht="15.75" customHeight="1" x14ac:dyDescent="0.25">
      <c r="A60" s="48" t="s">
        <v>141</v>
      </c>
      <c r="B60" s="49" t="s">
        <v>139</v>
      </c>
      <c r="C60" s="50" t="s">
        <v>64</v>
      </c>
      <c r="D60" s="51">
        <v>1700</v>
      </c>
      <c r="E60" s="51">
        <v>0</v>
      </c>
      <c r="F60" s="51">
        <v>1700</v>
      </c>
      <c r="G60" s="51">
        <v>100.78</v>
      </c>
      <c r="H60" s="51">
        <v>0</v>
      </c>
      <c r="I60" s="51">
        <v>100.78</v>
      </c>
      <c r="J60" s="51">
        <v>1599.22</v>
      </c>
      <c r="K60" s="53">
        <v>5.9282352941176474E-2</v>
      </c>
      <c r="L60" s="51">
        <v>103.29</v>
      </c>
      <c r="M60" s="51">
        <v>0</v>
      </c>
      <c r="N60" s="51">
        <v>103.29</v>
      </c>
      <c r="O60" s="51">
        <v>1596.71</v>
      </c>
      <c r="P60" s="54">
        <v>6.0758823529411768E-2</v>
      </c>
    </row>
    <row r="61" spans="1:16" ht="15.75" customHeight="1" x14ac:dyDescent="0.25">
      <c r="A61" s="48" t="s">
        <v>141</v>
      </c>
      <c r="B61" s="49" t="s">
        <v>139</v>
      </c>
      <c r="C61" s="50" t="s">
        <v>65</v>
      </c>
      <c r="D61" s="51">
        <v>0</v>
      </c>
      <c r="E61" s="51">
        <v>0</v>
      </c>
      <c r="F61" s="51">
        <v>0</v>
      </c>
      <c r="G61" s="51">
        <v>4537.08</v>
      </c>
      <c r="H61" s="51">
        <v>0</v>
      </c>
      <c r="I61" s="51">
        <v>4537.08</v>
      </c>
      <c r="J61" s="52">
        <v>-4537.08</v>
      </c>
      <c r="K61" s="55">
        <v>-1</v>
      </c>
      <c r="L61" s="51">
        <v>4564.0733330000003</v>
      </c>
      <c r="M61" s="51">
        <v>0</v>
      </c>
      <c r="N61" s="51">
        <v>4564.0733330000003</v>
      </c>
      <c r="O61" s="52">
        <v>-4564.0733330000003</v>
      </c>
      <c r="P61" s="58">
        <v>-1</v>
      </c>
    </row>
    <row r="62" spans="1:16" ht="15.75" customHeight="1" x14ac:dyDescent="0.25">
      <c r="A62" s="48" t="s">
        <v>141</v>
      </c>
      <c r="B62" s="49" t="s">
        <v>96</v>
      </c>
      <c r="C62" s="50" t="s">
        <v>97</v>
      </c>
      <c r="D62" s="51">
        <v>15385312</v>
      </c>
      <c r="E62" s="51">
        <v>0</v>
      </c>
      <c r="F62" s="51">
        <v>15385312</v>
      </c>
      <c r="G62" s="51">
        <v>7895805.1699999999</v>
      </c>
      <c r="H62" s="51">
        <v>1264366.01</v>
      </c>
      <c r="I62" s="51">
        <v>9160171.1799999997</v>
      </c>
      <c r="J62" s="51">
        <v>6225140.8200000003</v>
      </c>
      <c r="K62" s="53">
        <v>0.59538416770488634</v>
      </c>
      <c r="L62" s="51">
        <v>13491973.109998001</v>
      </c>
      <c r="M62" s="51">
        <v>2115040</v>
      </c>
      <c r="N62" s="51">
        <v>15607013.109998001</v>
      </c>
      <c r="O62" s="52">
        <v>-1486067.1199980001</v>
      </c>
      <c r="P62" s="54">
        <v>1.0965899892051587</v>
      </c>
    </row>
    <row r="63" spans="1:16" ht="15.75" customHeight="1" x14ac:dyDescent="0.25">
      <c r="A63" s="48" t="s">
        <v>141</v>
      </c>
      <c r="B63" s="49" t="s">
        <v>89</v>
      </c>
      <c r="C63" s="50" t="s">
        <v>90</v>
      </c>
      <c r="D63" s="51">
        <v>8895827</v>
      </c>
      <c r="E63" s="51">
        <v>0</v>
      </c>
      <c r="F63" s="51">
        <v>8895827</v>
      </c>
      <c r="G63" s="51">
        <v>3459054.27</v>
      </c>
      <c r="H63" s="51">
        <v>232484.37</v>
      </c>
      <c r="I63" s="51">
        <v>3691538.64</v>
      </c>
      <c r="J63" s="51">
        <v>5204288.3600000003</v>
      </c>
      <c r="K63" s="53">
        <v>0.41497419407998831</v>
      </c>
      <c r="L63" s="51">
        <v>8468029.7266659997</v>
      </c>
      <c r="M63" s="52">
        <v>-423000</v>
      </c>
      <c r="N63" s="51">
        <v>8045029.7266659997</v>
      </c>
      <c r="O63" s="51">
        <v>618312.90333400003</v>
      </c>
      <c r="P63" s="54">
        <v>0.93049405037508037</v>
      </c>
    </row>
    <row r="64" spans="1:16" ht="15.75" customHeight="1" x14ac:dyDescent="0.25">
      <c r="A64" s="48" t="s">
        <v>141</v>
      </c>
      <c r="B64" s="49" t="s">
        <v>115</v>
      </c>
      <c r="C64" s="50" t="s">
        <v>116</v>
      </c>
      <c r="D64" s="51">
        <v>1059616</v>
      </c>
      <c r="E64" s="51">
        <v>0</v>
      </c>
      <c r="F64" s="51">
        <v>1059616</v>
      </c>
      <c r="G64" s="51">
        <v>542683.04</v>
      </c>
      <c r="H64" s="51">
        <v>12396.97</v>
      </c>
      <c r="I64" s="51">
        <v>555080.01</v>
      </c>
      <c r="J64" s="51">
        <v>504535.99</v>
      </c>
      <c r="K64" s="53">
        <v>0.52385015892549758</v>
      </c>
      <c r="L64" s="51">
        <v>894388.17666600004</v>
      </c>
      <c r="M64" s="51">
        <v>120605</v>
      </c>
      <c r="N64" s="51">
        <v>1014993.176666</v>
      </c>
      <c r="O64" s="51">
        <v>32225.853333999999</v>
      </c>
      <c r="P64" s="54">
        <v>0.96958723411688763</v>
      </c>
    </row>
    <row r="65" spans="1:16" ht="15.75" customHeight="1" x14ac:dyDescent="0.25">
      <c r="A65" s="48" t="s">
        <v>141</v>
      </c>
      <c r="B65" s="49" t="s">
        <v>115</v>
      </c>
      <c r="C65" s="50" t="s">
        <v>117</v>
      </c>
      <c r="D65" s="51">
        <v>618000</v>
      </c>
      <c r="E65" s="52">
        <v>-77200</v>
      </c>
      <c r="F65" s="51">
        <v>540800</v>
      </c>
      <c r="G65" s="51">
        <v>218856.35</v>
      </c>
      <c r="H65" s="51">
        <v>21323.149999000001</v>
      </c>
      <c r="I65" s="51">
        <v>240179.49999899999</v>
      </c>
      <c r="J65" s="51">
        <v>300620.50000100001</v>
      </c>
      <c r="K65" s="53">
        <v>0.44411889792714498</v>
      </c>
      <c r="L65" s="51">
        <v>328622.17333600001</v>
      </c>
      <c r="M65" s="51">
        <v>150210</v>
      </c>
      <c r="N65" s="51">
        <v>478832.17333600001</v>
      </c>
      <c r="O65" s="51">
        <v>40644.676664999999</v>
      </c>
      <c r="P65" s="54">
        <v>0.92484342332655323</v>
      </c>
    </row>
    <row r="66" spans="1:16" ht="15.75" customHeight="1" x14ac:dyDescent="0.25">
      <c r="A66" s="48" t="s">
        <v>141</v>
      </c>
      <c r="B66" s="49" t="s">
        <v>139</v>
      </c>
      <c r="C66" s="50" t="s">
        <v>66</v>
      </c>
      <c r="D66" s="51">
        <v>1108632</v>
      </c>
      <c r="E66" s="51">
        <v>0</v>
      </c>
      <c r="F66" s="51">
        <v>1108632</v>
      </c>
      <c r="G66" s="51">
        <v>631336.43999999994</v>
      </c>
      <c r="H66" s="51">
        <v>0</v>
      </c>
      <c r="I66" s="51">
        <v>631336.43999999994</v>
      </c>
      <c r="J66" s="51">
        <v>477295.56</v>
      </c>
      <c r="K66" s="53">
        <v>0.56947340506137289</v>
      </c>
      <c r="L66" s="51">
        <v>969646.74666599999</v>
      </c>
      <c r="M66" s="51">
        <v>83655</v>
      </c>
      <c r="N66" s="51">
        <v>1053301.746666</v>
      </c>
      <c r="O66" s="51">
        <v>55330.253334000001</v>
      </c>
      <c r="P66" s="54">
        <v>0.95009141596670488</v>
      </c>
    </row>
    <row r="67" spans="1:16" ht="15.75" customHeight="1" x14ac:dyDescent="0.25">
      <c r="A67" s="48" t="s">
        <v>141</v>
      </c>
      <c r="B67" s="49" t="s">
        <v>139</v>
      </c>
      <c r="C67" s="50" t="s">
        <v>67</v>
      </c>
      <c r="D67" s="51">
        <v>45000</v>
      </c>
      <c r="E67" s="51">
        <v>0</v>
      </c>
      <c r="F67" s="51">
        <v>45000</v>
      </c>
      <c r="G67" s="51">
        <v>23185.14</v>
      </c>
      <c r="H67" s="51">
        <v>57958.3</v>
      </c>
      <c r="I67" s="51">
        <v>81143.44</v>
      </c>
      <c r="J67" s="52">
        <v>-36143.440000000002</v>
      </c>
      <c r="K67" s="53">
        <v>1.8031875555555557</v>
      </c>
      <c r="L67" s="51">
        <v>34818.04</v>
      </c>
      <c r="M67" s="51">
        <v>0</v>
      </c>
      <c r="N67" s="51">
        <v>34818.04</v>
      </c>
      <c r="O67" s="52">
        <v>-47776.34</v>
      </c>
      <c r="P67" s="54">
        <v>2.0616964444444443</v>
      </c>
    </row>
    <row r="68" spans="1:16" ht="15.75" customHeight="1" x14ac:dyDescent="0.25">
      <c r="A68" s="48" t="s">
        <v>141</v>
      </c>
      <c r="B68" s="49" t="s">
        <v>139</v>
      </c>
      <c r="C68" s="50" t="s">
        <v>68</v>
      </c>
      <c r="D68" s="51">
        <v>4550619</v>
      </c>
      <c r="E68" s="51">
        <v>0</v>
      </c>
      <c r="F68" s="51">
        <v>4550619</v>
      </c>
      <c r="G68" s="51">
        <v>1119442.52</v>
      </c>
      <c r="H68" s="51">
        <v>261076.51</v>
      </c>
      <c r="I68" s="51">
        <v>1380519.03</v>
      </c>
      <c r="J68" s="51">
        <v>3170099.97</v>
      </c>
      <c r="K68" s="53">
        <v>0.30336950423667636</v>
      </c>
      <c r="L68" s="51">
        <v>2150065.9999799998</v>
      </c>
      <c r="M68" s="51">
        <v>740673</v>
      </c>
      <c r="N68" s="51">
        <v>2890738.9999799998</v>
      </c>
      <c r="O68" s="51">
        <v>1398803.4900199999</v>
      </c>
      <c r="P68" s="54">
        <v>0.69261247974835949</v>
      </c>
    </row>
    <row r="69" spans="1:16" ht="15.75" customHeight="1" x14ac:dyDescent="0.25">
      <c r="A69" s="48" t="s">
        <v>141</v>
      </c>
      <c r="B69" s="49" t="s">
        <v>139</v>
      </c>
      <c r="C69" s="50" t="s">
        <v>69</v>
      </c>
      <c r="D69" s="51">
        <v>180759</v>
      </c>
      <c r="E69" s="51">
        <v>0</v>
      </c>
      <c r="F69" s="51">
        <v>180759</v>
      </c>
      <c r="G69" s="51">
        <v>99881.58</v>
      </c>
      <c r="H69" s="51">
        <v>0</v>
      </c>
      <c r="I69" s="51">
        <v>99881.58</v>
      </c>
      <c r="J69" s="51">
        <v>80877.42</v>
      </c>
      <c r="K69" s="53">
        <v>0.55256767297893883</v>
      </c>
      <c r="L69" s="51">
        <v>102769.843333</v>
      </c>
      <c r="M69" s="51">
        <v>0</v>
      </c>
      <c r="N69" s="51">
        <v>102769.843333</v>
      </c>
      <c r="O69" s="51">
        <v>77989.156667000003</v>
      </c>
      <c r="P69" s="54">
        <v>0.56854620424432534</v>
      </c>
    </row>
    <row r="70" spans="1:16" ht="15.75" customHeight="1" x14ac:dyDescent="0.25">
      <c r="A70" s="48" t="s">
        <v>141</v>
      </c>
      <c r="B70" s="49" t="s">
        <v>139</v>
      </c>
      <c r="C70" s="50" t="s">
        <v>70</v>
      </c>
      <c r="D70" s="51">
        <v>0</v>
      </c>
      <c r="E70" s="51">
        <v>0</v>
      </c>
      <c r="F70" s="51">
        <v>0</v>
      </c>
      <c r="G70" s="51">
        <v>3460.06</v>
      </c>
      <c r="H70" s="51">
        <v>0</v>
      </c>
      <c r="I70" s="51">
        <v>3460.06</v>
      </c>
      <c r="J70" s="52">
        <v>-3460.06</v>
      </c>
      <c r="K70" s="55">
        <v>-1</v>
      </c>
      <c r="L70" s="51">
        <v>5046.0466669999996</v>
      </c>
      <c r="M70" s="51">
        <v>0</v>
      </c>
      <c r="N70" s="51">
        <v>5046.0466669999996</v>
      </c>
      <c r="O70" s="52">
        <v>-5046.0466669999996</v>
      </c>
      <c r="P70" s="58">
        <v>-1</v>
      </c>
    </row>
    <row r="71" spans="1:16" ht="15.75" customHeight="1" x14ac:dyDescent="0.25">
      <c r="A71" s="48" t="s">
        <v>141</v>
      </c>
      <c r="B71" s="49" t="s">
        <v>49</v>
      </c>
      <c r="C71" s="50" t="s">
        <v>51</v>
      </c>
      <c r="D71" s="51">
        <v>158666757</v>
      </c>
      <c r="E71" s="51">
        <v>23892535</v>
      </c>
      <c r="F71" s="51">
        <v>182559292</v>
      </c>
      <c r="G71" s="51">
        <v>78375929.680000007</v>
      </c>
      <c r="H71" s="51">
        <v>2518020.8699969999</v>
      </c>
      <c r="I71" s="51">
        <v>80893950.549997002</v>
      </c>
      <c r="J71" s="51">
        <v>101665341.450003</v>
      </c>
      <c r="K71" s="53">
        <v>0.44311056240290964</v>
      </c>
      <c r="L71" s="51">
        <v>155256620.053285</v>
      </c>
      <c r="M71" s="51">
        <v>10508259.77</v>
      </c>
      <c r="N71" s="51">
        <v>165764879.82328501</v>
      </c>
      <c r="O71" s="51">
        <v>14276391.306717999</v>
      </c>
      <c r="P71" s="54">
        <v>0.92179860498846589</v>
      </c>
    </row>
    <row r="72" spans="1:16" ht="15.75" customHeight="1" x14ac:dyDescent="0.25">
      <c r="A72" s="48" t="s">
        <v>141</v>
      </c>
      <c r="B72" s="49" t="s">
        <v>91</v>
      </c>
      <c r="C72" s="50" t="s">
        <v>92</v>
      </c>
      <c r="D72" s="51">
        <v>6697245</v>
      </c>
      <c r="E72" s="51">
        <v>55166</v>
      </c>
      <c r="F72" s="51">
        <v>6752411</v>
      </c>
      <c r="G72" s="51">
        <v>3083063.34</v>
      </c>
      <c r="H72" s="51">
        <v>15901.83</v>
      </c>
      <c r="I72" s="51">
        <v>3098965.17</v>
      </c>
      <c r="J72" s="51">
        <v>3653445.83</v>
      </c>
      <c r="K72" s="53">
        <v>0.45894202381934396</v>
      </c>
      <c r="L72" s="51">
        <v>6397548.1933319997</v>
      </c>
      <c r="M72" s="52">
        <v>-15000</v>
      </c>
      <c r="N72" s="51">
        <v>6382548.1933319997</v>
      </c>
      <c r="O72" s="51">
        <v>353960.97666799999</v>
      </c>
      <c r="P72" s="54">
        <v>0.94758006041575371</v>
      </c>
    </row>
    <row r="73" spans="1:16" ht="15.75" customHeight="1" x14ac:dyDescent="0.25">
      <c r="A73" s="48" t="s">
        <v>141</v>
      </c>
      <c r="B73" s="49" t="s">
        <v>91</v>
      </c>
      <c r="C73" s="50" t="s">
        <v>93</v>
      </c>
      <c r="D73" s="51">
        <v>368780</v>
      </c>
      <c r="E73" s="51">
        <v>0</v>
      </c>
      <c r="F73" s="51">
        <v>368780</v>
      </c>
      <c r="G73" s="51">
        <v>165845.48000000001</v>
      </c>
      <c r="H73" s="51">
        <v>467194.45</v>
      </c>
      <c r="I73" s="51">
        <v>633039.93000000005</v>
      </c>
      <c r="J73" s="52">
        <v>-264259.93</v>
      </c>
      <c r="K73" s="53">
        <v>1.7165788003687836</v>
      </c>
      <c r="L73" s="51">
        <v>357909.636665</v>
      </c>
      <c r="M73" s="51">
        <v>0</v>
      </c>
      <c r="N73" s="51">
        <v>357909.636665</v>
      </c>
      <c r="O73" s="52">
        <v>-456324.08666500001</v>
      </c>
      <c r="P73" s="54">
        <v>2.237388379697923</v>
      </c>
    </row>
    <row r="74" spans="1:16" ht="15.75" customHeight="1" x14ac:dyDescent="0.25">
      <c r="A74" s="48" t="s">
        <v>141</v>
      </c>
      <c r="B74" s="49" t="s">
        <v>87</v>
      </c>
      <c r="C74" s="50" t="s">
        <v>88</v>
      </c>
      <c r="D74" s="51">
        <v>3246641</v>
      </c>
      <c r="E74" s="51">
        <v>0</v>
      </c>
      <c r="F74" s="51">
        <v>3246641</v>
      </c>
      <c r="G74" s="51">
        <v>1136992.31</v>
      </c>
      <c r="H74" s="51">
        <v>4697.8500000000004</v>
      </c>
      <c r="I74" s="51">
        <v>1141690.1599999999</v>
      </c>
      <c r="J74" s="51">
        <v>2104950.84</v>
      </c>
      <c r="K74" s="53">
        <v>0.35165272661806463</v>
      </c>
      <c r="L74" s="51">
        <v>2292261.6833330002</v>
      </c>
      <c r="M74" s="51">
        <v>0</v>
      </c>
      <c r="N74" s="51">
        <v>2292261.6833330002</v>
      </c>
      <c r="O74" s="51">
        <v>949681.46666699997</v>
      </c>
      <c r="P74" s="54">
        <v>0.70748799554154584</v>
      </c>
    </row>
    <row r="75" spans="1:16" ht="15.75" customHeight="1" x14ac:dyDescent="0.25">
      <c r="A75" s="48" t="s">
        <v>141</v>
      </c>
      <c r="B75" s="57" t="s">
        <v>140</v>
      </c>
      <c r="C75" s="50" t="s">
        <v>102</v>
      </c>
      <c r="D75" s="51">
        <v>139000</v>
      </c>
      <c r="E75" s="51">
        <v>80620</v>
      </c>
      <c r="F75" s="51">
        <v>219620</v>
      </c>
      <c r="G75" s="51">
        <v>24561.46</v>
      </c>
      <c r="H75" s="51">
        <v>1753.71</v>
      </c>
      <c r="I75" s="51">
        <v>26315.17</v>
      </c>
      <c r="J75" s="51">
        <v>193304.83</v>
      </c>
      <c r="K75" s="53">
        <v>0.11982137328112194</v>
      </c>
      <c r="L75" s="51">
        <v>124415.593332</v>
      </c>
      <c r="M75" s="51">
        <v>0</v>
      </c>
      <c r="N75" s="51">
        <v>124415.593332</v>
      </c>
      <c r="O75" s="51">
        <v>93450.696668000004</v>
      </c>
      <c r="P75" s="54">
        <v>0.57448913273836621</v>
      </c>
    </row>
    <row r="76" spans="1:16" ht="15.75" customHeight="1" x14ac:dyDescent="0.25">
      <c r="A76" s="48" t="s">
        <v>141</v>
      </c>
      <c r="B76" s="49" t="s">
        <v>103</v>
      </c>
      <c r="C76" s="50" t="s">
        <v>104</v>
      </c>
      <c r="D76" s="51">
        <v>392712</v>
      </c>
      <c r="E76" s="51">
        <v>0</v>
      </c>
      <c r="F76" s="51">
        <v>392712</v>
      </c>
      <c r="G76" s="51">
        <v>142814.13</v>
      </c>
      <c r="H76" s="51">
        <v>120032.86</v>
      </c>
      <c r="I76" s="51">
        <v>262846.99</v>
      </c>
      <c r="J76" s="51">
        <v>129865.01</v>
      </c>
      <c r="K76" s="53">
        <v>0.66931234594308298</v>
      </c>
      <c r="L76" s="51">
        <v>307294.556667</v>
      </c>
      <c r="M76" s="51">
        <v>0</v>
      </c>
      <c r="N76" s="51">
        <v>307294.556667</v>
      </c>
      <c r="O76" s="52">
        <v>-34615.416666999998</v>
      </c>
      <c r="P76" s="54">
        <v>1.0881445350969667</v>
      </c>
    </row>
    <row r="77" spans="1:16" ht="15.75" customHeight="1" x14ac:dyDescent="0.25">
      <c r="A77" s="48" t="s">
        <v>141</v>
      </c>
      <c r="B77" s="49" t="s">
        <v>98</v>
      </c>
      <c r="C77" s="50" t="s">
        <v>100</v>
      </c>
      <c r="D77" s="51">
        <v>674097</v>
      </c>
      <c r="E77" s="51">
        <v>0</v>
      </c>
      <c r="F77" s="51">
        <v>674097</v>
      </c>
      <c r="G77" s="51">
        <v>167702</v>
      </c>
      <c r="H77" s="51">
        <v>8193.2199999999993</v>
      </c>
      <c r="I77" s="51">
        <v>175895.22</v>
      </c>
      <c r="J77" s="51">
        <v>498201.78</v>
      </c>
      <c r="K77" s="53">
        <v>0.26093458359850291</v>
      </c>
      <c r="L77" s="51">
        <v>395301.21333200001</v>
      </c>
      <c r="M77" s="51">
        <v>0</v>
      </c>
      <c r="N77" s="51">
        <v>395301.21333200001</v>
      </c>
      <c r="O77" s="51">
        <v>270602.56666800001</v>
      </c>
      <c r="P77" s="54">
        <v>0.59857028488778319</v>
      </c>
    </row>
    <row r="78" spans="1:16" ht="15.75" customHeight="1" x14ac:dyDescent="0.25">
      <c r="A78" s="48" t="s">
        <v>141</v>
      </c>
      <c r="B78" s="49" t="s">
        <v>75</v>
      </c>
      <c r="C78" s="50" t="s">
        <v>76</v>
      </c>
      <c r="D78" s="51">
        <v>2994524</v>
      </c>
      <c r="E78" s="51">
        <v>0</v>
      </c>
      <c r="F78" s="51">
        <v>2994524</v>
      </c>
      <c r="G78" s="51">
        <v>1508786.44</v>
      </c>
      <c r="H78" s="51">
        <v>286203.48</v>
      </c>
      <c r="I78" s="51">
        <v>1794989.92</v>
      </c>
      <c r="J78" s="51">
        <v>1199534.0800000001</v>
      </c>
      <c r="K78" s="53">
        <v>0.59942412216432395</v>
      </c>
      <c r="L78" s="51">
        <v>3689155.8599979999</v>
      </c>
      <c r="M78" s="52">
        <v>-716345</v>
      </c>
      <c r="N78" s="51">
        <v>2972810.8599979999</v>
      </c>
      <c r="O78" s="52">
        <v>-264490.33999800001</v>
      </c>
      <c r="P78" s="54">
        <v>1.0883246686278019</v>
      </c>
    </row>
    <row r="79" spans="1:16" ht="15.75" customHeight="1" x14ac:dyDescent="0.25">
      <c r="A79" s="48" t="s">
        <v>141</v>
      </c>
      <c r="B79" s="49" t="s">
        <v>75</v>
      </c>
      <c r="C79" s="50" t="s">
        <v>78</v>
      </c>
      <c r="D79" s="51">
        <v>13500</v>
      </c>
      <c r="E79" s="51">
        <v>0</v>
      </c>
      <c r="F79" s="51">
        <v>13500</v>
      </c>
      <c r="G79" s="51">
        <v>0</v>
      </c>
      <c r="H79" s="51">
        <v>0</v>
      </c>
      <c r="I79" s="51">
        <v>0</v>
      </c>
      <c r="J79" s="51">
        <v>13500</v>
      </c>
      <c r="K79" s="53">
        <v>0</v>
      </c>
      <c r="L79" s="51">
        <v>0</v>
      </c>
      <c r="M79" s="51">
        <v>1528</v>
      </c>
      <c r="N79" s="51">
        <v>1528</v>
      </c>
      <c r="O79" s="51">
        <v>11972</v>
      </c>
      <c r="P79" s="54">
        <v>0.11318518518518518</v>
      </c>
    </row>
    <row r="80" spans="1:16" ht="15.75" customHeight="1" x14ac:dyDescent="0.25">
      <c r="A80" s="48" t="s">
        <v>141</v>
      </c>
      <c r="B80" s="49" t="s">
        <v>75</v>
      </c>
      <c r="C80" s="50" t="s">
        <v>79</v>
      </c>
      <c r="D80" s="51">
        <v>1184877</v>
      </c>
      <c r="E80" s="51">
        <v>0</v>
      </c>
      <c r="F80" s="51">
        <v>1184877</v>
      </c>
      <c r="G80" s="51">
        <v>261340.46</v>
      </c>
      <c r="H80" s="51">
        <v>0</v>
      </c>
      <c r="I80" s="51">
        <v>261340.46</v>
      </c>
      <c r="J80" s="51">
        <v>923536.54</v>
      </c>
      <c r="K80" s="53">
        <v>0.22056336649289335</v>
      </c>
      <c r="L80" s="51">
        <v>1357039.3333340001</v>
      </c>
      <c r="M80" s="51">
        <v>0</v>
      </c>
      <c r="N80" s="51">
        <v>1357039.3333340001</v>
      </c>
      <c r="O80" s="52">
        <v>-172162.333334</v>
      </c>
      <c r="P80" s="54">
        <v>1.1452997512264986</v>
      </c>
    </row>
    <row r="81" spans="1:16" ht="15.75" customHeight="1" x14ac:dyDescent="0.25">
      <c r="A81" s="48" t="s">
        <v>141</v>
      </c>
      <c r="B81" s="49" t="s">
        <v>75</v>
      </c>
      <c r="C81" s="50" t="s">
        <v>80</v>
      </c>
      <c r="D81" s="51">
        <v>8162</v>
      </c>
      <c r="E81" s="51">
        <v>0</v>
      </c>
      <c r="F81" s="51">
        <v>8162</v>
      </c>
      <c r="G81" s="51">
        <v>0</v>
      </c>
      <c r="H81" s="51">
        <v>0</v>
      </c>
      <c r="I81" s="51">
        <v>0</v>
      </c>
      <c r="J81" s="51">
        <v>8162</v>
      </c>
      <c r="K81" s="53">
        <v>0</v>
      </c>
      <c r="L81" s="51">
        <v>0</v>
      </c>
      <c r="M81" s="51">
        <v>0</v>
      </c>
      <c r="N81" s="51">
        <v>0</v>
      </c>
      <c r="O81" s="51">
        <v>8162</v>
      </c>
      <c r="P81" s="54">
        <v>0</v>
      </c>
    </row>
    <row r="82" spans="1:16" ht="15.75" customHeight="1" x14ac:dyDescent="0.25">
      <c r="A82" s="48" t="s">
        <v>141</v>
      </c>
      <c r="B82" s="49" t="s">
        <v>75</v>
      </c>
      <c r="C82" s="50" t="s">
        <v>81</v>
      </c>
      <c r="D82" s="51">
        <v>442444</v>
      </c>
      <c r="E82" s="51">
        <v>0</v>
      </c>
      <c r="F82" s="51">
        <v>442444</v>
      </c>
      <c r="G82" s="51">
        <v>50633.47</v>
      </c>
      <c r="H82" s="51">
        <v>0</v>
      </c>
      <c r="I82" s="51">
        <v>50633.47</v>
      </c>
      <c r="J82" s="51">
        <v>391810.53</v>
      </c>
      <c r="K82" s="53">
        <v>0.11444040375731165</v>
      </c>
      <c r="L82" s="51">
        <v>525397.36666499998</v>
      </c>
      <c r="M82" s="51">
        <v>0</v>
      </c>
      <c r="N82" s="51">
        <v>525397.36666499998</v>
      </c>
      <c r="O82" s="52">
        <v>-82953.366664999994</v>
      </c>
      <c r="P82" s="54">
        <v>1.1874889628178933</v>
      </c>
    </row>
    <row r="83" spans="1:16" ht="15.75" customHeight="1" x14ac:dyDescent="0.25">
      <c r="A83" s="48" t="s">
        <v>141</v>
      </c>
      <c r="B83" s="49" t="s">
        <v>75</v>
      </c>
      <c r="C83" s="50" t="s">
        <v>82</v>
      </c>
      <c r="D83" s="51">
        <v>64255</v>
      </c>
      <c r="E83" s="51">
        <v>0</v>
      </c>
      <c r="F83" s="51">
        <v>64255</v>
      </c>
      <c r="G83" s="51">
        <v>0</v>
      </c>
      <c r="H83" s="51">
        <v>0</v>
      </c>
      <c r="I83" s="51">
        <v>0</v>
      </c>
      <c r="J83" s="51">
        <v>64255</v>
      </c>
      <c r="K83" s="53">
        <v>0</v>
      </c>
      <c r="L83" s="51">
        <v>1200</v>
      </c>
      <c r="M83" s="51">
        <v>57505</v>
      </c>
      <c r="N83" s="51">
        <v>58705</v>
      </c>
      <c r="O83" s="51">
        <v>5550</v>
      </c>
      <c r="P83" s="54">
        <v>0.91362539880164972</v>
      </c>
    </row>
    <row r="84" spans="1:16" ht="15.75" customHeight="1" x14ac:dyDescent="0.25">
      <c r="A84" s="48" t="s">
        <v>141</v>
      </c>
      <c r="B84" s="49" t="s">
        <v>75</v>
      </c>
      <c r="C84" s="50" t="s">
        <v>83</v>
      </c>
      <c r="D84" s="51">
        <v>0</v>
      </c>
      <c r="E84" s="51">
        <v>721655</v>
      </c>
      <c r="F84" s="51">
        <v>721655</v>
      </c>
      <c r="G84" s="51">
        <v>17383.7</v>
      </c>
      <c r="H84" s="51">
        <v>0</v>
      </c>
      <c r="I84" s="51">
        <v>17383.7</v>
      </c>
      <c r="J84" s="51">
        <v>704271.3</v>
      </c>
      <c r="K84" s="53">
        <v>2.4088657322404752E-2</v>
      </c>
      <c r="L84" s="51">
        <v>23320.033331999999</v>
      </c>
      <c r="M84" s="51">
        <v>0</v>
      </c>
      <c r="N84" s="51">
        <v>23320.033331999999</v>
      </c>
      <c r="O84" s="51">
        <v>698334.96666799998</v>
      </c>
      <c r="P84" s="54">
        <v>3.2314656355183574E-2</v>
      </c>
    </row>
    <row r="85" spans="1:16" ht="15.75" customHeight="1" x14ac:dyDescent="0.25">
      <c r="A85" s="48" t="s">
        <v>141</v>
      </c>
      <c r="B85" s="49" t="s">
        <v>94</v>
      </c>
      <c r="C85" s="50" t="s">
        <v>95</v>
      </c>
      <c r="D85" s="51">
        <v>367000</v>
      </c>
      <c r="E85" s="51">
        <v>0</v>
      </c>
      <c r="F85" s="51">
        <v>367000</v>
      </c>
      <c r="G85" s="51">
        <v>16990.27</v>
      </c>
      <c r="H85" s="51">
        <v>0</v>
      </c>
      <c r="I85" s="51">
        <v>16990.27</v>
      </c>
      <c r="J85" s="51">
        <v>350009.73</v>
      </c>
      <c r="K85" s="53">
        <v>4.6295013623978198E-2</v>
      </c>
      <c r="L85" s="51">
        <v>25529.536666</v>
      </c>
      <c r="M85" s="51">
        <v>0</v>
      </c>
      <c r="N85" s="51">
        <v>25529.536666</v>
      </c>
      <c r="O85" s="51">
        <v>341470.46333399997</v>
      </c>
      <c r="P85" s="54">
        <v>6.9562770207084471E-2</v>
      </c>
    </row>
    <row r="86" spans="1:16" ht="15.75" customHeight="1" x14ac:dyDescent="0.25">
      <c r="A86" s="48" t="s">
        <v>141</v>
      </c>
      <c r="B86" s="49" t="s">
        <v>15</v>
      </c>
      <c r="C86" s="50" t="s">
        <v>84</v>
      </c>
      <c r="D86" s="51">
        <v>879583</v>
      </c>
      <c r="E86" s="51">
        <v>0</v>
      </c>
      <c r="F86" s="51">
        <v>879583</v>
      </c>
      <c r="G86" s="51">
        <v>430008.99</v>
      </c>
      <c r="H86" s="51">
        <v>12460</v>
      </c>
      <c r="I86" s="51">
        <v>442468.99</v>
      </c>
      <c r="J86" s="51">
        <v>437114.01</v>
      </c>
      <c r="K86" s="53">
        <v>0.50304404473483455</v>
      </c>
      <c r="L86" s="51">
        <v>874463.83</v>
      </c>
      <c r="M86" s="51">
        <v>10948</v>
      </c>
      <c r="N86" s="51">
        <v>885411.83</v>
      </c>
      <c r="O86" s="52">
        <v>-18288.830000000002</v>
      </c>
      <c r="P86" s="54">
        <v>1.0207926142274237</v>
      </c>
    </row>
    <row r="87" spans="1:16" ht="15.75" customHeight="1" x14ac:dyDescent="0.25">
      <c r="A87" s="48" t="s">
        <v>141</v>
      </c>
      <c r="B87" s="49" t="s">
        <v>15</v>
      </c>
      <c r="C87" s="50" t="s">
        <v>85</v>
      </c>
      <c r="D87" s="51">
        <v>98792</v>
      </c>
      <c r="E87" s="51">
        <v>0</v>
      </c>
      <c r="F87" s="51">
        <v>98792</v>
      </c>
      <c r="G87" s="51">
        <v>34920.379999999997</v>
      </c>
      <c r="H87" s="51">
        <v>10625</v>
      </c>
      <c r="I87" s="51">
        <v>45545.38</v>
      </c>
      <c r="J87" s="51">
        <v>53246.62</v>
      </c>
      <c r="K87" s="53">
        <v>0.46102295732447973</v>
      </c>
      <c r="L87" s="51">
        <v>67308.83</v>
      </c>
      <c r="M87" s="51">
        <v>20858</v>
      </c>
      <c r="N87" s="51">
        <v>88166.83</v>
      </c>
      <c r="O87" s="51">
        <v>0.17</v>
      </c>
      <c r="P87" s="54">
        <v>0.99999827921289175</v>
      </c>
    </row>
    <row r="88" spans="1:16" ht="15.75" customHeight="1" x14ac:dyDescent="0.25">
      <c r="A88" s="48" t="s">
        <v>141</v>
      </c>
      <c r="B88" s="49" t="s">
        <v>15</v>
      </c>
      <c r="C88" s="50" t="s">
        <v>86</v>
      </c>
      <c r="D88" s="51">
        <v>201400</v>
      </c>
      <c r="E88" s="51">
        <v>0</v>
      </c>
      <c r="F88" s="51">
        <v>201400</v>
      </c>
      <c r="G88" s="51">
        <v>38262.720000000001</v>
      </c>
      <c r="H88" s="51">
        <v>774.03</v>
      </c>
      <c r="I88" s="51">
        <v>39036.75</v>
      </c>
      <c r="J88" s="51">
        <v>162363.25</v>
      </c>
      <c r="K88" s="53">
        <v>0.19382696127110227</v>
      </c>
      <c r="L88" s="51">
        <v>49359.126666999997</v>
      </c>
      <c r="M88" s="51">
        <v>155877</v>
      </c>
      <c r="N88" s="51">
        <v>205236.126667</v>
      </c>
      <c r="O88" s="52">
        <v>-4610.1566670000002</v>
      </c>
      <c r="P88" s="54">
        <v>1.02289054948858</v>
      </c>
    </row>
    <row r="89" spans="1:16" ht="15.75" customHeight="1" x14ac:dyDescent="0.25">
      <c r="A89" s="48" t="s">
        <v>141</v>
      </c>
      <c r="B89" s="49" t="s">
        <v>112</v>
      </c>
      <c r="C89" s="50" t="s">
        <v>113</v>
      </c>
      <c r="D89" s="51">
        <v>74713</v>
      </c>
      <c r="E89" s="51">
        <v>0</v>
      </c>
      <c r="F89" s="51">
        <v>74713</v>
      </c>
      <c r="G89" s="51">
        <v>27254.06</v>
      </c>
      <c r="H89" s="51">
        <v>52481.83</v>
      </c>
      <c r="I89" s="51">
        <v>79735.89</v>
      </c>
      <c r="J89" s="52">
        <v>-5022.8900000000003</v>
      </c>
      <c r="K89" s="53">
        <v>1.0672291301379948</v>
      </c>
      <c r="L89" s="51">
        <v>52095.93</v>
      </c>
      <c r="M89" s="51">
        <v>0</v>
      </c>
      <c r="N89" s="51">
        <v>52095.93</v>
      </c>
      <c r="O89" s="52">
        <v>-29864.76</v>
      </c>
      <c r="P89" s="54">
        <v>1.3997264197663057</v>
      </c>
    </row>
    <row r="90" spans="1:16" ht="15.75" customHeight="1" x14ac:dyDescent="0.25">
      <c r="A90" s="48" t="s">
        <v>141</v>
      </c>
      <c r="B90" s="49" t="s">
        <v>112</v>
      </c>
      <c r="C90" s="50" t="s">
        <v>114</v>
      </c>
      <c r="D90" s="51">
        <v>969000</v>
      </c>
      <c r="E90" s="51">
        <v>0</v>
      </c>
      <c r="F90" s="51">
        <v>969000</v>
      </c>
      <c r="G90" s="51">
        <v>256923.01</v>
      </c>
      <c r="H90" s="51">
        <v>5892.81</v>
      </c>
      <c r="I90" s="51">
        <v>262815.82</v>
      </c>
      <c r="J90" s="51">
        <v>706184.18</v>
      </c>
      <c r="K90" s="53">
        <v>0.27122375644994839</v>
      </c>
      <c r="L90" s="51">
        <v>538480.75999799999</v>
      </c>
      <c r="M90" s="51">
        <v>0</v>
      </c>
      <c r="N90" s="51">
        <v>538480.75999799999</v>
      </c>
      <c r="O90" s="51">
        <v>424626.43000200001</v>
      </c>
      <c r="P90" s="54">
        <v>0.56178902992569657</v>
      </c>
    </row>
    <row r="91" spans="1:16" ht="15.75" customHeight="1" x14ac:dyDescent="0.25">
      <c r="A91" s="48" t="s">
        <v>141</v>
      </c>
      <c r="B91" s="49" t="s">
        <v>105</v>
      </c>
      <c r="C91" s="50" t="s">
        <v>107</v>
      </c>
      <c r="D91" s="51">
        <v>30000</v>
      </c>
      <c r="E91" s="51">
        <v>0</v>
      </c>
      <c r="F91" s="51">
        <v>30000</v>
      </c>
      <c r="G91" s="51">
        <v>9500</v>
      </c>
      <c r="H91" s="51">
        <v>0</v>
      </c>
      <c r="I91" s="51">
        <v>9500</v>
      </c>
      <c r="J91" s="51">
        <v>20500</v>
      </c>
      <c r="K91" s="53">
        <v>0.31666666666666665</v>
      </c>
      <c r="L91" s="51">
        <v>22000</v>
      </c>
      <c r="M91" s="51">
        <v>0</v>
      </c>
      <c r="N91" s="51">
        <v>22000</v>
      </c>
      <c r="O91" s="51">
        <v>8000</v>
      </c>
      <c r="P91" s="54">
        <v>0.73333333333333328</v>
      </c>
    </row>
    <row r="92" spans="1:16" ht="15.75" customHeight="1" x14ac:dyDescent="0.25">
      <c r="A92" s="48" t="s">
        <v>141</v>
      </c>
      <c r="B92" s="49" t="s">
        <v>105</v>
      </c>
      <c r="C92" s="50" t="s">
        <v>108</v>
      </c>
      <c r="D92" s="51">
        <v>756000</v>
      </c>
      <c r="E92" s="51">
        <v>200227</v>
      </c>
      <c r="F92" s="51">
        <v>956227</v>
      </c>
      <c r="G92" s="51">
        <v>331020.03999999998</v>
      </c>
      <c r="H92" s="51">
        <v>0</v>
      </c>
      <c r="I92" s="51">
        <v>331020.03999999998</v>
      </c>
      <c r="J92" s="51">
        <v>625206.96</v>
      </c>
      <c r="K92" s="53">
        <v>0.3461730739667464</v>
      </c>
      <c r="L92" s="51">
        <v>740607.21</v>
      </c>
      <c r="M92" s="51">
        <v>0</v>
      </c>
      <c r="N92" s="51">
        <v>740607.21</v>
      </c>
      <c r="O92" s="51">
        <v>215619.79</v>
      </c>
      <c r="P92" s="54">
        <v>0.77450982873313556</v>
      </c>
    </row>
    <row r="93" spans="1:16" ht="15.75" customHeight="1" x14ac:dyDescent="0.25">
      <c r="A93" s="48" t="s">
        <v>141</v>
      </c>
      <c r="B93" s="49" t="s">
        <v>105</v>
      </c>
      <c r="C93" s="50" t="s">
        <v>109</v>
      </c>
      <c r="D93" s="51">
        <v>100000</v>
      </c>
      <c r="E93" s="51">
        <v>313770</v>
      </c>
      <c r="F93" s="51">
        <v>413770</v>
      </c>
      <c r="G93" s="51">
        <v>33873.160000000003</v>
      </c>
      <c r="H93" s="51">
        <v>0</v>
      </c>
      <c r="I93" s="51">
        <v>33873.160000000003</v>
      </c>
      <c r="J93" s="51">
        <v>379896.84</v>
      </c>
      <c r="K93" s="53">
        <v>8.1864707446165738E-2</v>
      </c>
      <c r="L93" s="51">
        <v>94003.913333000004</v>
      </c>
      <c r="M93" s="51">
        <v>0</v>
      </c>
      <c r="N93" s="51">
        <v>94003.913333000004</v>
      </c>
      <c r="O93" s="51">
        <v>319766.08666700003</v>
      </c>
      <c r="P93" s="54">
        <v>0.22718880859656332</v>
      </c>
    </row>
    <row r="94" spans="1:16" ht="15.75" customHeight="1" x14ac:dyDescent="0.25">
      <c r="A94" s="48" t="s">
        <v>141</v>
      </c>
      <c r="B94" s="49" t="s">
        <v>105</v>
      </c>
      <c r="C94" s="50" t="s">
        <v>110</v>
      </c>
      <c r="D94" s="51">
        <v>75000</v>
      </c>
      <c r="E94" s="51">
        <v>43263</v>
      </c>
      <c r="F94" s="51">
        <v>118263</v>
      </c>
      <c r="G94" s="51">
        <v>9596.16</v>
      </c>
      <c r="H94" s="51">
        <v>0</v>
      </c>
      <c r="I94" s="51">
        <v>9596.16</v>
      </c>
      <c r="J94" s="51">
        <v>108666.84</v>
      </c>
      <c r="K94" s="53">
        <v>8.1142538241039036E-2</v>
      </c>
      <c r="L94" s="51">
        <v>40819.099998999998</v>
      </c>
      <c r="M94" s="51">
        <v>0</v>
      </c>
      <c r="N94" s="51">
        <v>40819.099998999998</v>
      </c>
      <c r="O94" s="51">
        <v>77443.900001000002</v>
      </c>
      <c r="P94" s="54">
        <v>0.34515528947346169</v>
      </c>
    </row>
    <row r="95" spans="1:16" ht="15.75" customHeight="1" x14ac:dyDescent="0.25">
      <c r="A95" s="48" t="s">
        <v>141</v>
      </c>
      <c r="B95" s="49" t="s">
        <v>105</v>
      </c>
      <c r="C95" s="50" t="s">
        <v>111</v>
      </c>
      <c r="D95" s="51">
        <v>2000</v>
      </c>
      <c r="E95" s="51">
        <v>0</v>
      </c>
      <c r="F95" s="51">
        <v>2000</v>
      </c>
      <c r="G95" s="51">
        <v>0</v>
      </c>
      <c r="H95" s="51">
        <v>0</v>
      </c>
      <c r="I95" s="51">
        <v>0</v>
      </c>
      <c r="J95" s="51">
        <v>2000</v>
      </c>
      <c r="K95" s="53">
        <v>0</v>
      </c>
      <c r="L95" s="51">
        <v>0</v>
      </c>
      <c r="M95" s="51">
        <v>0</v>
      </c>
      <c r="N95" s="51">
        <v>0</v>
      </c>
      <c r="O95" s="51">
        <v>2000</v>
      </c>
      <c r="P95" s="54">
        <v>0</v>
      </c>
    </row>
    <row r="96" spans="1:16" ht="15.75" customHeight="1" x14ac:dyDescent="0.25">
      <c r="A96" s="48" t="s">
        <v>141</v>
      </c>
      <c r="B96" s="49" t="s">
        <v>72</v>
      </c>
      <c r="C96" s="50" t="s">
        <v>73</v>
      </c>
      <c r="D96" s="51">
        <v>292558</v>
      </c>
      <c r="E96" s="51">
        <v>0</v>
      </c>
      <c r="F96" s="51">
        <v>292558</v>
      </c>
      <c r="G96" s="51">
        <v>197602.71</v>
      </c>
      <c r="H96" s="51">
        <v>73440</v>
      </c>
      <c r="I96" s="51">
        <v>271042.71000000002</v>
      </c>
      <c r="J96" s="51">
        <v>21515.29</v>
      </c>
      <c r="K96" s="53">
        <v>0.92645803567155915</v>
      </c>
      <c r="L96" s="51">
        <v>364845.58</v>
      </c>
      <c r="M96" s="52">
        <v>-75205</v>
      </c>
      <c r="N96" s="51">
        <v>289640.58</v>
      </c>
      <c r="O96" s="52">
        <v>-70522.58</v>
      </c>
      <c r="P96" s="54">
        <v>1.2410550386590009</v>
      </c>
    </row>
    <row r="97" spans="1:16" ht="15.75" customHeight="1" x14ac:dyDescent="0.25">
      <c r="A97" s="48" t="s">
        <v>141</v>
      </c>
      <c r="B97" s="49" t="s">
        <v>72</v>
      </c>
      <c r="C97" s="50" t="s">
        <v>74</v>
      </c>
      <c r="D97" s="51">
        <v>97250</v>
      </c>
      <c r="E97" s="51">
        <v>0</v>
      </c>
      <c r="F97" s="51">
        <v>97250</v>
      </c>
      <c r="G97" s="51">
        <v>75489.87</v>
      </c>
      <c r="H97" s="51">
        <v>163651.1</v>
      </c>
      <c r="I97" s="51">
        <v>239140.97</v>
      </c>
      <c r="J97" s="52">
        <v>-141890.97</v>
      </c>
      <c r="K97" s="53">
        <v>2.459033110539846</v>
      </c>
      <c r="L97" s="51">
        <v>114748.32000199999</v>
      </c>
      <c r="M97" s="51">
        <v>18834</v>
      </c>
      <c r="N97" s="51">
        <v>133582.32000199999</v>
      </c>
      <c r="O97" s="52">
        <v>-199983.420002</v>
      </c>
      <c r="P97" s="54">
        <v>3.0563847815115683</v>
      </c>
    </row>
    <row r="98" spans="1:16" ht="15.75" customHeight="1" x14ac:dyDescent="0.25">
      <c r="A98" s="59"/>
    </row>
    <row r="99" spans="1:16" ht="15.75" customHeight="1" x14ac:dyDescent="0.25"/>
    <row r="100" spans="1:16" ht="15.75" customHeight="1" x14ac:dyDescent="0.25"/>
    <row r="101" spans="1:16" ht="15.75" customHeight="1" x14ac:dyDescent="0.25"/>
    <row r="102" spans="1:16" ht="15.75" customHeight="1" x14ac:dyDescent="0.25"/>
    <row r="103" spans="1:16" ht="15.75" customHeight="1" x14ac:dyDescent="0.25"/>
    <row r="104" spans="1:16" ht="15.75" customHeight="1" x14ac:dyDescent="0.25"/>
    <row r="105" spans="1:16" ht="15.75" customHeight="1" x14ac:dyDescent="0.25"/>
    <row r="106" spans="1:16" ht="15.75" customHeight="1" x14ac:dyDescent="0.25"/>
    <row r="107" spans="1:16" ht="15.75" customHeight="1" x14ac:dyDescent="0.25"/>
    <row r="108" spans="1:16" ht="15.75" customHeight="1" x14ac:dyDescent="0.25"/>
    <row r="109" spans="1:16" ht="15.75" customHeight="1" x14ac:dyDescent="0.25"/>
    <row r="110" spans="1:16" ht="15.75" customHeight="1" x14ac:dyDescent="0.25"/>
    <row r="111" spans="1:16" ht="15.75" customHeight="1" x14ac:dyDescent="0.25"/>
    <row r="112" spans="1:16"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S1000"/>
  <sheetViews>
    <sheetView workbookViewId="0"/>
  </sheetViews>
  <sheetFormatPr defaultColWidth="14.42578125" defaultRowHeight="15" customHeight="1" x14ac:dyDescent="0.25"/>
  <cols>
    <col min="1" max="1" width="11.7109375" customWidth="1"/>
    <col min="2" max="2" width="26.5703125" customWidth="1"/>
    <col min="3" max="3" width="35.42578125" customWidth="1"/>
    <col min="4" max="4" width="9.5703125" customWidth="1"/>
    <col min="5" max="5" width="8.7109375" customWidth="1"/>
    <col min="6" max="7" width="9.5703125" customWidth="1"/>
    <col min="8" max="8" width="7.85546875" customWidth="1"/>
    <col min="9" max="9" width="9.5703125" customWidth="1"/>
    <col min="10" max="10" width="9.85546875" customWidth="1"/>
    <col min="11" max="11" width="7.42578125" customWidth="1"/>
    <col min="12" max="12" width="9.5703125" customWidth="1"/>
    <col min="13" max="13" width="12" customWidth="1"/>
    <col min="14" max="14" width="9.5703125" customWidth="1"/>
    <col min="15" max="15" width="9" customWidth="1"/>
    <col min="16" max="16" width="7.42578125" customWidth="1"/>
    <col min="17" max="17" width="8.7109375" customWidth="1"/>
    <col min="18" max="18" width="10.85546875" customWidth="1"/>
    <col min="19" max="19" width="10.28515625" customWidth="1"/>
    <col min="20" max="26" width="8.7109375" customWidth="1"/>
  </cols>
  <sheetData>
    <row r="3" spans="1:16" x14ac:dyDescent="0.25">
      <c r="A3" s="45" t="s">
        <v>122</v>
      </c>
      <c r="B3" s="46" t="s">
        <v>123</v>
      </c>
      <c r="C3" s="46" t="s">
        <v>124</v>
      </c>
      <c r="D3" s="47" t="s">
        <v>125</v>
      </c>
      <c r="E3" s="47" t="s">
        <v>126</v>
      </c>
      <c r="F3" s="47" t="s">
        <v>127</v>
      </c>
      <c r="G3" s="47" t="s">
        <v>128</v>
      </c>
      <c r="H3" s="47" t="s">
        <v>129</v>
      </c>
      <c r="I3" s="47" t="s">
        <v>130</v>
      </c>
      <c r="J3" s="47" t="s">
        <v>131</v>
      </c>
      <c r="K3" s="47" t="s">
        <v>132</v>
      </c>
      <c r="L3" s="47" t="s">
        <v>133</v>
      </c>
      <c r="M3" s="47" t="s">
        <v>134</v>
      </c>
      <c r="N3" s="47" t="s">
        <v>135</v>
      </c>
      <c r="O3" s="47" t="s">
        <v>136</v>
      </c>
      <c r="P3" s="47" t="s">
        <v>137</v>
      </c>
    </row>
    <row r="4" spans="1:16" x14ac:dyDescent="0.25">
      <c r="A4" s="48" t="s">
        <v>138</v>
      </c>
      <c r="B4" s="49" t="s">
        <v>139</v>
      </c>
      <c r="C4" s="50" t="s">
        <v>53</v>
      </c>
      <c r="D4" s="51">
        <v>90000</v>
      </c>
      <c r="E4" s="51">
        <v>0</v>
      </c>
      <c r="F4" s="51">
        <v>90000</v>
      </c>
      <c r="G4" s="51">
        <v>62240.800000000003</v>
      </c>
      <c r="H4" s="51">
        <v>0</v>
      </c>
      <c r="I4" s="51">
        <v>62240.800000000003</v>
      </c>
      <c r="J4" s="52">
        <v>-27759.200000000001</v>
      </c>
      <c r="K4" s="53">
        <v>0.69156444444444443</v>
      </c>
      <c r="L4" s="51">
        <v>104867.099999</v>
      </c>
      <c r="M4" s="51">
        <v>0</v>
      </c>
      <c r="N4" s="51">
        <v>104867.099999</v>
      </c>
      <c r="O4" s="51">
        <v>14867.099999</v>
      </c>
      <c r="P4" s="54">
        <v>1.1651899999888888</v>
      </c>
    </row>
    <row r="5" spans="1:16" x14ac:dyDescent="0.25">
      <c r="A5" s="48" t="s">
        <v>138</v>
      </c>
      <c r="B5" s="49" t="s">
        <v>139</v>
      </c>
      <c r="C5" s="50" t="s">
        <v>54</v>
      </c>
      <c r="D5" s="51">
        <v>27300</v>
      </c>
      <c r="E5" s="51">
        <v>0</v>
      </c>
      <c r="F5" s="51">
        <v>27300</v>
      </c>
      <c r="G5" s="51">
        <v>736.25</v>
      </c>
      <c r="H5" s="51">
        <v>0</v>
      </c>
      <c r="I5" s="51">
        <v>736.25</v>
      </c>
      <c r="J5" s="52">
        <v>-26563.75</v>
      </c>
      <c r="K5" s="53">
        <v>2.696886446886447E-2</v>
      </c>
      <c r="L5" s="51">
        <v>6229.4333329999999</v>
      </c>
      <c r="M5" s="51">
        <v>0</v>
      </c>
      <c r="N5" s="51">
        <v>6229.4333329999999</v>
      </c>
      <c r="O5" s="52">
        <v>-21070.566666999999</v>
      </c>
      <c r="P5" s="54">
        <v>0.22818437117216117</v>
      </c>
    </row>
    <row r="6" spans="1:16" x14ac:dyDescent="0.25">
      <c r="A6" s="48" t="s">
        <v>138</v>
      </c>
      <c r="B6" s="49" t="s">
        <v>139</v>
      </c>
      <c r="C6" s="50" t="s">
        <v>55</v>
      </c>
      <c r="D6" s="51">
        <v>5000</v>
      </c>
      <c r="E6" s="51">
        <v>0</v>
      </c>
      <c r="F6" s="51">
        <v>5000</v>
      </c>
      <c r="G6" s="51">
        <v>1925</v>
      </c>
      <c r="H6" s="51">
        <v>0</v>
      </c>
      <c r="I6" s="51">
        <v>1925</v>
      </c>
      <c r="J6" s="52">
        <v>-3075</v>
      </c>
      <c r="K6" s="53">
        <v>0.38500000000000001</v>
      </c>
      <c r="L6" s="51">
        <v>2587.1066660000001</v>
      </c>
      <c r="M6" s="51">
        <v>0</v>
      </c>
      <c r="N6" s="51">
        <v>2587.1066660000001</v>
      </c>
      <c r="O6" s="52">
        <v>-2412.8933339999999</v>
      </c>
      <c r="P6" s="54">
        <v>0.51742133320000006</v>
      </c>
    </row>
    <row r="7" spans="1:16" x14ac:dyDescent="0.25">
      <c r="A7" s="48" t="s">
        <v>138</v>
      </c>
      <c r="B7" s="49" t="s">
        <v>139</v>
      </c>
      <c r="C7" s="50" t="s">
        <v>56</v>
      </c>
      <c r="D7" s="51">
        <v>6000</v>
      </c>
      <c r="E7" s="51">
        <v>0</v>
      </c>
      <c r="F7" s="51">
        <v>6000</v>
      </c>
      <c r="G7" s="51">
        <v>1412.5</v>
      </c>
      <c r="H7" s="51">
        <v>0</v>
      </c>
      <c r="I7" s="51">
        <v>1412.5</v>
      </c>
      <c r="J7" s="52">
        <v>-4587.5</v>
      </c>
      <c r="K7" s="53">
        <v>0.23541666666666666</v>
      </c>
      <c r="L7" s="51">
        <v>2307.7733330000001</v>
      </c>
      <c r="M7" s="51">
        <v>0</v>
      </c>
      <c r="N7" s="51">
        <v>2307.7733330000001</v>
      </c>
      <c r="O7" s="52">
        <v>-3692.2266669999999</v>
      </c>
      <c r="P7" s="54">
        <v>0.38462888883333335</v>
      </c>
    </row>
    <row r="8" spans="1:16" x14ac:dyDescent="0.25">
      <c r="A8" s="48" t="s">
        <v>138</v>
      </c>
      <c r="B8" s="49" t="s">
        <v>139</v>
      </c>
      <c r="C8" s="50" t="s">
        <v>57</v>
      </c>
      <c r="D8" s="51">
        <v>11000</v>
      </c>
      <c r="E8" s="51">
        <v>0</v>
      </c>
      <c r="F8" s="51">
        <v>11000</v>
      </c>
      <c r="G8" s="51">
        <v>1475</v>
      </c>
      <c r="H8" s="51">
        <v>0</v>
      </c>
      <c r="I8" s="51">
        <v>1475</v>
      </c>
      <c r="J8" s="52">
        <v>-9525</v>
      </c>
      <c r="K8" s="53">
        <v>0.13409090909090909</v>
      </c>
      <c r="L8" s="51">
        <v>4409.2233329999999</v>
      </c>
      <c r="M8" s="51">
        <v>0</v>
      </c>
      <c r="N8" s="51">
        <v>4409.2233329999999</v>
      </c>
      <c r="O8" s="52">
        <v>-6590.7766670000001</v>
      </c>
      <c r="P8" s="54">
        <v>0.40083848481818179</v>
      </c>
    </row>
    <row r="9" spans="1:16" x14ac:dyDescent="0.25">
      <c r="A9" s="48" t="s">
        <v>138</v>
      </c>
      <c r="B9" s="49" t="s">
        <v>139</v>
      </c>
      <c r="C9" s="50" t="s">
        <v>58</v>
      </c>
      <c r="D9" s="51">
        <v>10000</v>
      </c>
      <c r="E9" s="51">
        <v>0</v>
      </c>
      <c r="F9" s="51">
        <v>10000</v>
      </c>
      <c r="G9" s="52">
        <v>-692.5</v>
      </c>
      <c r="H9" s="51">
        <v>0</v>
      </c>
      <c r="I9" s="52">
        <v>-692.5</v>
      </c>
      <c r="J9" s="52">
        <v>-10692.5</v>
      </c>
      <c r="K9" s="55">
        <v>-6.9250000000000006E-2</v>
      </c>
      <c r="L9" s="51">
        <v>7858.7433339999998</v>
      </c>
      <c r="M9" s="51">
        <v>0</v>
      </c>
      <c r="N9" s="51">
        <v>7858.7433339999998</v>
      </c>
      <c r="O9" s="52">
        <v>-2141.2566660000002</v>
      </c>
      <c r="P9" s="54">
        <v>0.78587433340000001</v>
      </c>
    </row>
    <row r="10" spans="1:16" x14ac:dyDescent="0.25">
      <c r="A10" s="48" t="s">
        <v>138</v>
      </c>
      <c r="B10" s="49" t="s">
        <v>139</v>
      </c>
      <c r="C10" s="50" t="s">
        <v>59</v>
      </c>
      <c r="D10" s="51">
        <v>19000</v>
      </c>
      <c r="E10" s="51">
        <v>0</v>
      </c>
      <c r="F10" s="51">
        <v>19000</v>
      </c>
      <c r="G10" s="51">
        <v>2750</v>
      </c>
      <c r="H10" s="51">
        <v>0</v>
      </c>
      <c r="I10" s="51">
        <v>2750</v>
      </c>
      <c r="J10" s="52">
        <v>-16250</v>
      </c>
      <c r="K10" s="53">
        <v>0.14473684210526316</v>
      </c>
      <c r="L10" s="51">
        <v>2808.333333</v>
      </c>
      <c r="M10" s="51">
        <v>0</v>
      </c>
      <c r="N10" s="51">
        <v>2808.333333</v>
      </c>
      <c r="O10" s="52">
        <v>-16191.666667</v>
      </c>
      <c r="P10" s="54">
        <v>0.14780701752631578</v>
      </c>
    </row>
    <row r="11" spans="1:16" x14ac:dyDescent="0.25">
      <c r="A11" s="48" t="s">
        <v>138</v>
      </c>
      <c r="B11" s="49" t="s">
        <v>139</v>
      </c>
      <c r="C11" s="50" t="s">
        <v>60</v>
      </c>
      <c r="D11" s="51">
        <v>6000</v>
      </c>
      <c r="E11" s="51">
        <v>0</v>
      </c>
      <c r="F11" s="51">
        <v>6000</v>
      </c>
      <c r="G11" s="51">
        <v>6562.5</v>
      </c>
      <c r="H11" s="51">
        <v>0</v>
      </c>
      <c r="I11" s="51">
        <v>6562.5</v>
      </c>
      <c r="J11" s="51">
        <v>562.5</v>
      </c>
      <c r="K11" s="53">
        <v>1.09375</v>
      </c>
      <c r="L11" s="51">
        <v>8105.6866659999996</v>
      </c>
      <c r="M11" s="51">
        <v>0</v>
      </c>
      <c r="N11" s="51">
        <v>8105.6866659999996</v>
      </c>
      <c r="O11" s="51">
        <v>2105.6866660000001</v>
      </c>
      <c r="P11" s="54">
        <v>1.3509477776666667</v>
      </c>
    </row>
    <row r="12" spans="1:16" x14ac:dyDescent="0.25">
      <c r="A12" s="48" t="s">
        <v>138</v>
      </c>
      <c r="B12" s="49" t="s">
        <v>139</v>
      </c>
      <c r="C12" s="50" t="s">
        <v>61</v>
      </c>
      <c r="D12" s="51">
        <v>3800</v>
      </c>
      <c r="E12" s="51">
        <v>0</v>
      </c>
      <c r="F12" s="51">
        <v>3800</v>
      </c>
      <c r="G12" s="51">
        <v>325</v>
      </c>
      <c r="H12" s="51">
        <v>0</v>
      </c>
      <c r="I12" s="51">
        <v>325</v>
      </c>
      <c r="J12" s="52">
        <v>-3475</v>
      </c>
      <c r="K12" s="53">
        <v>8.5526315789473686E-2</v>
      </c>
      <c r="L12" s="51">
        <v>1080</v>
      </c>
      <c r="M12" s="51">
        <v>0</v>
      </c>
      <c r="N12" s="51">
        <v>1080</v>
      </c>
      <c r="O12" s="52">
        <v>-2720</v>
      </c>
      <c r="P12" s="54">
        <v>0.28421052631578947</v>
      </c>
    </row>
    <row r="13" spans="1:16" x14ac:dyDescent="0.25">
      <c r="A13" s="48" t="s">
        <v>138</v>
      </c>
      <c r="B13" s="49" t="s">
        <v>139</v>
      </c>
      <c r="C13" s="50" t="s">
        <v>62</v>
      </c>
      <c r="D13" s="51">
        <v>4500</v>
      </c>
      <c r="E13" s="51">
        <v>0</v>
      </c>
      <c r="F13" s="51">
        <v>4500</v>
      </c>
      <c r="G13" s="51">
        <v>1822.5</v>
      </c>
      <c r="H13" s="51">
        <v>0</v>
      </c>
      <c r="I13" s="51">
        <v>1822.5</v>
      </c>
      <c r="J13" s="52">
        <v>-2677.5</v>
      </c>
      <c r="K13" s="53">
        <v>0.40500000000000003</v>
      </c>
      <c r="L13" s="51">
        <v>2534.876667</v>
      </c>
      <c r="M13" s="51">
        <v>0</v>
      </c>
      <c r="N13" s="51">
        <v>2534.876667</v>
      </c>
      <c r="O13" s="52">
        <v>-1965.123333</v>
      </c>
      <c r="P13" s="54">
        <v>0.56330592599999996</v>
      </c>
    </row>
    <row r="14" spans="1:16" x14ac:dyDescent="0.25">
      <c r="A14" s="48" t="s">
        <v>138</v>
      </c>
      <c r="B14" s="49" t="s">
        <v>139</v>
      </c>
      <c r="C14" s="50" t="s">
        <v>63</v>
      </c>
      <c r="D14" s="51">
        <v>21200</v>
      </c>
      <c r="E14" s="51">
        <v>0</v>
      </c>
      <c r="F14" s="51">
        <v>21200</v>
      </c>
      <c r="G14" s="51">
        <v>17558.09</v>
      </c>
      <c r="H14" s="51">
        <v>0</v>
      </c>
      <c r="I14" s="51">
        <v>17558.09</v>
      </c>
      <c r="J14" s="52">
        <v>-3641.91</v>
      </c>
      <c r="K14" s="53">
        <v>0.82821179245283016</v>
      </c>
      <c r="L14" s="51">
        <v>21509.11</v>
      </c>
      <c r="M14" s="51">
        <v>0</v>
      </c>
      <c r="N14" s="51">
        <v>21509.11</v>
      </c>
      <c r="O14" s="51">
        <v>309.11</v>
      </c>
      <c r="P14" s="54">
        <v>1.0145806603773584</v>
      </c>
    </row>
    <row r="15" spans="1:16" x14ac:dyDescent="0.25">
      <c r="A15" s="48" t="s">
        <v>138</v>
      </c>
      <c r="B15" s="49" t="s">
        <v>139</v>
      </c>
      <c r="C15" s="50" t="s">
        <v>64</v>
      </c>
      <c r="D15" s="51">
        <v>19000</v>
      </c>
      <c r="E15" s="51">
        <v>0</v>
      </c>
      <c r="F15" s="51">
        <v>19000</v>
      </c>
      <c r="G15" s="51">
        <v>2015.5</v>
      </c>
      <c r="H15" s="51">
        <v>0</v>
      </c>
      <c r="I15" s="51">
        <v>2015.5</v>
      </c>
      <c r="J15" s="52">
        <v>-16984.5</v>
      </c>
      <c r="K15" s="53">
        <v>0.10607894736842105</v>
      </c>
      <c r="L15" s="51">
        <v>5039.1833329999999</v>
      </c>
      <c r="M15" s="51">
        <v>0</v>
      </c>
      <c r="N15" s="51">
        <v>5039.1833329999999</v>
      </c>
      <c r="O15" s="52">
        <v>-13960.816666999999</v>
      </c>
      <c r="P15" s="54">
        <v>0.26522017542105264</v>
      </c>
    </row>
    <row r="16" spans="1:16" x14ac:dyDescent="0.25">
      <c r="A16" s="48" t="s">
        <v>138</v>
      </c>
      <c r="B16" s="49" t="s">
        <v>139</v>
      </c>
      <c r="C16" s="50" t="s">
        <v>65</v>
      </c>
      <c r="D16" s="51">
        <v>4000</v>
      </c>
      <c r="E16" s="51">
        <v>0</v>
      </c>
      <c r="F16" s="51">
        <v>4000</v>
      </c>
      <c r="G16" s="51">
        <v>50037.5</v>
      </c>
      <c r="H16" s="51">
        <v>0</v>
      </c>
      <c r="I16" s="51">
        <v>50037.5</v>
      </c>
      <c r="J16" s="51">
        <v>46037.5</v>
      </c>
      <c r="K16" s="53">
        <v>9.99</v>
      </c>
      <c r="L16" s="51">
        <v>50577.353332999999</v>
      </c>
      <c r="M16" s="51">
        <v>0</v>
      </c>
      <c r="N16" s="51">
        <v>50577.353332999999</v>
      </c>
      <c r="O16" s="51">
        <v>46577.353332999999</v>
      </c>
      <c r="P16" s="54">
        <v>9.99</v>
      </c>
    </row>
    <row r="17" spans="1:19" x14ac:dyDescent="0.25">
      <c r="A17" s="48" t="s">
        <v>138</v>
      </c>
      <c r="B17" s="49" t="s">
        <v>96</v>
      </c>
      <c r="C17" s="50" t="s">
        <v>97</v>
      </c>
      <c r="D17" s="51">
        <v>16349703</v>
      </c>
      <c r="E17" s="51">
        <v>0</v>
      </c>
      <c r="F17" s="51">
        <v>16349703</v>
      </c>
      <c r="G17" s="51">
        <v>14331480.68</v>
      </c>
      <c r="H17" s="51">
        <v>0</v>
      </c>
      <c r="I17" s="51">
        <v>14331480.68</v>
      </c>
      <c r="J17" s="52">
        <v>-2018222.32</v>
      </c>
      <c r="K17" s="53">
        <v>0.87655908367265145</v>
      </c>
      <c r="L17" s="51">
        <v>14789271.716666</v>
      </c>
      <c r="M17" s="51">
        <v>113162</v>
      </c>
      <c r="N17" s="51">
        <v>14902433.716666</v>
      </c>
      <c r="O17" s="52">
        <v>-1447269.283334</v>
      </c>
      <c r="P17" s="54">
        <v>0.91148039304848538</v>
      </c>
    </row>
    <row r="18" spans="1:19" x14ac:dyDescent="0.25">
      <c r="A18" s="48" t="s">
        <v>138</v>
      </c>
      <c r="B18" s="49" t="s">
        <v>89</v>
      </c>
      <c r="C18" s="50" t="s">
        <v>90</v>
      </c>
      <c r="D18" s="51">
        <v>8919552</v>
      </c>
      <c r="E18" s="51">
        <v>0</v>
      </c>
      <c r="F18" s="51">
        <v>8919552</v>
      </c>
      <c r="G18" s="51">
        <v>7966583.6600000001</v>
      </c>
      <c r="H18" s="51">
        <v>0</v>
      </c>
      <c r="I18" s="51">
        <v>7966583.6600000001</v>
      </c>
      <c r="J18" s="52">
        <v>-952968.34</v>
      </c>
      <c r="K18" s="53">
        <v>0.89315961833060675</v>
      </c>
      <c r="L18" s="51">
        <v>11065216.530001</v>
      </c>
      <c r="M18" s="52">
        <v>-2793804</v>
      </c>
      <c r="N18" s="51">
        <v>8271412.5300009996</v>
      </c>
      <c r="O18" s="52">
        <v>-648139.46999899996</v>
      </c>
      <c r="P18" s="54">
        <v>0.92733497489571226</v>
      </c>
    </row>
    <row r="19" spans="1:19" x14ac:dyDescent="0.25">
      <c r="A19" s="48" t="s">
        <v>138</v>
      </c>
      <c r="B19" s="49" t="s">
        <v>115</v>
      </c>
      <c r="C19" s="50" t="s">
        <v>116</v>
      </c>
      <c r="D19" s="51">
        <v>979575</v>
      </c>
      <c r="E19" s="51">
        <v>0</v>
      </c>
      <c r="F19" s="51">
        <v>979575</v>
      </c>
      <c r="G19" s="51">
        <v>853436.81</v>
      </c>
      <c r="H19" s="51">
        <v>0</v>
      </c>
      <c r="I19" s="51">
        <v>853436.81</v>
      </c>
      <c r="J19" s="52">
        <v>-126138.19</v>
      </c>
      <c r="K19" s="53">
        <v>0.87123171783681697</v>
      </c>
      <c r="L19" s="51">
        <v>901389.87</v>
      </c>
      <c r="M19" s="51">
        <v>76289</v>
      </c>
      <c r="N19" s="51">
        <v>977678.87</v>
      </c>
      <c r="O19" s="52">
        <v>-1896.13</v>
      </c>
      <c r="P19" s="54">
        <v>0.99806433402240768</v>
      </c>
    </row>
    <row r="20" spans="1:19" x14ac:dyDescent="0.25">
      <c r="A20" s="48" t="s">
        <v>138</v>
      </c>
      <c r="B20" s="49" t="s">
        <v>115</v>
      </c>
      <c r="C20" s="50" t="s">
        <v>117</v>
      </c>
      <c r="D20" s="51">
        <v>366000</v>
      </c>
      <c r="E20" s="52">
        <v>-77200</v>
      </c>
      <c r="F20" s="51">
        <v>288800</v>
      </c>
      <c r="G20" s="51">
        <v>243660.32</v>
      </c>
      <c r="H20" s="51">
        <v>0</v>
      </c>
      <c r="I20" s="51">
        <v>243660.32</v>
      </c>
      <c r="J20" s="52">
        <v>-45139.68</v>
      </c>
      <c r="K20" s="53">
        <v>0.84369916897506925</v>
      </c>
      <c r="L20" s="51">
        <v>293050.90666600002</v>
      </c>
      <c r="M20" s="52">
        <v>-41961</v>
      </c>
      <c r="N20" s="51">
        <v>251089.906666</v>
      </c>
      <c r="O20" s="52">
        <v>-37710.093333999997</v>
      </c>
      <c r="P20" s="54">
        <v>0.86942488457756228</v>
      </c>
    </row>
    <row r="21" spans="1:19" ht="15.75" customHeight="1" x14ac:dyDescent="0.25">
      <c r="A21" s="48" t="s">
        <v>138</v>
      </c>
      <c r="B21" s="49" t="s">
        <v>139</v>
      </c>
      <c r="C21" s="50" t="s">
        <v>66</v>
      </c>
      <c r="D21" s="51">
        <v>603000</v>
      </c>
      <c r="E21" s="51">
        <v>0</v>
      </c>
      <c r="F21" s="51">
        <v>603000</v>
      </c>
      <c r="G21" s="51">
        <v>591106.02</v>
      </c>
      <c r="H21" s="51">
        <v>0</v>
      </c>
      <c r="I21" s="51">
        <v>591106.02</v>
      </c>
      <c r="J21" s="52">
        <v>-11893.98</v>
      </c>
      <c r="K21" s="53">
        <v>0.98027532338308454</v>
      </c>
      <c r="L21" s="51">
        <v>797453.38666600001</v>
      </c>
      <c r="M21" s="52">
        <v>-183005</v>
      </c>
      <c r="N21" s="51">
        <v>614448.38666600001</v>
      </c>
      <c r="O21" s="51">
        <v>11448.386666</v>
      </c>
      <c r="P21" s="54">
        <v>1.0189857158640132</v>
      </c>
    </row>
    <row r="22" spans="1:19" ht="15.75" customHeight="1" x14ac:dyDescent="0.25">
      <c r="A22" s="48" t="s">
        <v>138</v>
      </c>
      <c r="B22" s="49" t="s">
        <v>139</v>
      </c>
      <c r="C22" s="50" t="s">
        <v>67</v>
      </c>
      <c r="D22" s="51">
        <v>124500</v>
      </c>
      <c r="E22" s="51">
        <v>0</v>
      </c>
      <c r="F22" s="51">
        <v>124500</v>
      </c>
      <c r="G22" s="51">
        <v>84476.12</v>
      </c>
      <c r="H22" s="51">
        <v>0</v>
      </c>
      <c r="I22" s="51">
        <v>84476.12</v>
      </c>
      <c r="J22" s="52">
        <v>-40023.879999999997</v>
      </c>
      <c r="K22" s="53">
        <v>0.67852305220883535</v>
      </c>
      <c r="L22" s="51">
        <v>139902.50666700001</v>
      </c>
      <c r="M22" s="52">
        <v>-16500</v>
      </c>
      <c r="N22" s="51">
        <v>123402.50666699999</v>
      </c>
      <c r="O22" s="52">
        <v>-1097.4933329999999</v>
      </c>
      <c r="P22" s="54">
        <v>0.99118479250602409</v>
      </c>
    </row>
    <row r="23" spans="1:19" ht="15.75" customHeight="1" x14ac:dyDescent="0.25">
      <c r="A23" s="48" t="s">
        <v>138</v>
      </c>
      <c r="B23" s="49" t="s">
        <v>139</v>
      </c>
      <c r="C23" s="50" t="s">
        <v>68</v>
      </c>
      <c r="D23" s="51">
        <v>2840000</v>
      </c>
      <c r="E23" s="51">
        <v>0</v>
      </c>
      <c r="F23" s="51">
        <v>2840000</v>
      </c>
      <c r="G23" s="51">
        <v>2809975.95</v>
      </c>
      <c r="H23" s="51">
        <v>0</v>
      </c>
      <c r="I23" s="51">
        <v>2809975.95</v>
      </c>
      <c r="J23" s="52">
        <v>-30024.05</v>
      </c>
      <c r="K23" s="53">
        <v>0.98942815140845075</v>
      </c>
      <c r="L23" s="51">
        <v>2890739.4066670001</v>
      </c>
      <c r="M23" s="51">
        <v>0</v>
      </c>
      <c r="N23" s="51">
        <v>2890739.4066670001</v>
      </c>
      <c r="O23" s="51">
        <v>50739.406667000003</v>
      </c>
      <c r="P23" s="54">
        <v>1.0178659882630281</v>
      </c>
    </row>
    <row r="24" spans="1:19" ht="15.75" customHeight="1" x14ac:dyDescent="0.25">
      <c r="A24" s="48" t="s">
        <v>138</v>
      </c>
      <c r="B24" s="49" t="s">
        <v>139</v>
      </c>
      <c r="C24" s="50" t="s">
        <v>69</v>
      </c>
      <c r="D24" s="51">
        <v>239359</v>
      </c>
      <c r="E24" s="51">
        <v>0</v>
      </c>
      <c r="F24" s="51">
        <v>239359</v>
      </c>
      <c r="G24" s="51">
        <v>67762.97</v>
      </c>
      <c r="H24" s="51">
        <v>0</v>
      </c>
      <c r="I24" s="51">
        <v>67762.97</v>
      </c>
      <c r="J24" s="52">
        <v>-171596.03</v>
      </c>
      <c r="K24" s="53">
        <v>0.28310182612728163</v>
      </c>
      <c r="L24" s="51">
        <v>208347.486664</v>
      </c>
      <c r="M24" s="51">
        <v>0</v>
      </c>
      <c r="N24" s="51">
        <v>208347.486664</v>
      </c>
      <c r="O24" s="52">
        <v>-31011.513336</v>
      </c>
      <c r="P24" s="54">
        <v>0.87043932613354835</v>
      </c>
    </row>
    <row r="25" spans="1:19" ht="15.75" customHeight="1" x14ac:dyDescent="0.25">
      <c r="A25" s="48" t="s">
        <v>138</v>
      </c>
      <c r="B25" s="49" t="s">
        <v>139</v>
      </c>
      <c r="C25" s="50" t="s">
        <v>70</v>
      </c>
      <c r="D25" s="51">
        <v>0</v>
      </c>
      <c r="E25" s="51">
        <v>0</v>
      </c>
      <c r="F25" s="51">
        <v>0</v>
      </c>
      <c r="G25" s="51">
        <v>2407</v>
      </c>
      <c r="H25" s="51">
        <v>0</v>
      </c>
      <c r="I25" s="51">
        <v>2407</v>
      </c>
      <c r="J25" s="51">
        <v>2407</v>
      </c>
      <c r="K25" s="53">
        <v>1</v>
      </c>
      <c r="L25" s="51">
        <v>3358.733334</v>
      </c>
      <c r="M25" s="51">
        <v>0</v>
      </c>
      <c r="N25" s="51">
        <v>3358.733334</v>
      </c>
      <c r="O25" s="51">
        <v>3358.733334</v>
      </c>
      <c r="P25" s="54">
        <v>1</v>
      </c>
    </row>
    <row r="26" spans="1:19" ht="15.75" customHeight="1" x14ac:dyDescent="0.25">
      <c r="A26" s="48" t="s">
        <v>138</v>
      </c>
      <c r="B26" s="49" t="s">
        <v>49</v>
      </c>
      <c r="C26" s="50" t="s">
        <v>51</v>
      </c>
      <c r="D26" s="51">
        <v>158666757</v>
      </c>
      <c r="E26" s="51">
        <v>4542050</v>
      </c>
      <c r="F26" s="51">
        <v>163208807</v>
      </c>
      <c r="G26" s="51">
        <v>101255051.91</v>
      </c>
      <c r="H26" s="51">
        <v>0</v>
      </c>
      <c r="I26" s="51">
        <v>101255051.91</v>
      </c>
      <c r="J26" s="52">
        <v>-61953755.090000004</v>
      </c>
      <c r="K26" s="53">
        <v>0.62040188744226288</v>
      </c>
      <c r="L26" s="51">
        <v>157155903.36666301</v>
      </c>
      <c r="M26" s="51">
        <v>7995938</v>
      </c>
      <c r="N26" s="51">
        <v>165151841.36666301</v>
      </c>
      <c r="O26" s="51">
        <v>1943034.3666630001</v>
      </c>
      <c r="P26" s="54">
        <v>1.0119052053769562</v>
      </c>
      <c r="R26" s="56"/>
      <c r="S26" s="56"/>
    </row>
    <row r="27" spans="1:19" ht="15.75" customHeight="1" x14ac:dyDescent="0.25">
      <c r="A27" s="48" t="s">
        <v>138</v>
      </c>
      <c r="B27" s="49" t="s">
        <v>91</v>
      </c>
      <c r="C27" s="50" t="s">
        <v>92</v>
      </c>
      <c r="D27" s="51">
        <v>5612825</v>
      </c>
      <c r="E27" s="51">
        <v>55166</v>
      </c>
      <c r="F27" s="51">
        <v>5667991</v>
      </c>
      <c r="G27" s="51">
        <v>3798901.84</v>
      </c>
      <c r="H27" s="51">
        <v>0</v>
      </c>
      <c r="I27" s="51">
        <v>3798901.84</v>
      </c>
      <c r="J27" s="52">
        <v>-1869089.16</v>
      </c>
      <c r="K27" s="53">
        <v>0.67023780383560949</v>
      </c>
      <c r="L27" s="51">
        <v>3909014.989999</v>
      </c>
      <c r="M27" s="51">
        <v>1803991</v>
      </c>
      <c r="N27" s="51">
        <v>5713005.989999</v>
      </c>
      <c r="O27" s="51">
        <v>45014.989998999998</v>
      </c>
      <c r="P27" s="54">
        <v>1.0079419656804325</v>
      </c>
    </row>
    <row r="28" spans="1:19" ht="15.75" customHeight="1" x14ac:dyDescent="0.25">
      <c r="A28" s="48" t="s">
        <v>138</v>
      </c>
      <c r="B28" s="49" t="s">
        <v>91</v>
      </c>
      <c r="C28" s="50" t="s">
        <v>93</v>
      </c>
      <c r="D28" s="51">
        <v>358500</v>
      </c>
      <c r="E28" s="51">
        <v>0</v>
      </c>
      <c r="F28" s="51">
        <v>358500</v>
      </c>
      <c r="G28" s="51">
        <v>363076.01</v>
      </c>
      <c r="H28" s="51">
        <v>0</v>
      </c>
      <c r="I28" s="51">
        <v>363076.01</v>
      </c>
      <c r="J28" s="51">
        <v>4576.01</v>
      </c>
      <c r="K28" s="53">
        <v>1.0127643235704324</v>
      </c>
      <c r="L28" s="51">
        <v>601052.35333399998</v>
      </c>
      <c r="M28" s="51">
        <v>0</v>
      </c>
      <c r="N28" s="51">
        <v>601052.35333399998</v>
      </c>
      <c r="O28" s="51">
        <v>242552.35333400001</v>
      </c>
      <c r="P28" s="54">
        <v>1.6765756020474198</v>
      </c>
    </row>
    <row r="29" spans="1:19" ht="15.75" customHeight="1" x14ac:dyDescent="0.25">
      <c r="A29" s="48" t="s">
        <v>138</v>
      </c>
      <c r="B29" s="49" t="s">
        <v>87</v>
      </c>
      <c r="C29" s="50" t="s">
        <v>88</v>
      </c>
      <c r="D29" s="51">
        <v>4457953</v>
      </c>
      <c r="E29" s="51">
        <v>0</v>
      </c>
      <c r="F29" s="51">
        <v>4457953</v>
      </c>
      <c r="G29" s="51">
        <v>156457.59</v>
      </c>
      <c r="H29" s="51">
        <v>0</v>
      </c>
      <c r="I29" s="51">
        <v>156457.59</v>
      </c>
      <c r="J29" s="52">
        <v>-4301495.41</v>
      </c>
      <c r="K29" s="53">
        <v>3.5096285223285215E-2</v>
      </c>
      <c r="L29" s="51">
        <v>3861487.3999990001</v>
      </c>
      <c r="M29" s="51">
        <v>0</v>
      </c>
      <c r="N29" s="51">
        <v>3861487.3999990001</v>
      </c>
      <c r="O29" s="52">
        <v>-596465.60000099998</v>
      </c>
      <c r="P29" s="54">
        <v>0.86620190926171725</v>
      </c>
    </row>
    <row r="30" spans="1:19" ht="15.75" customHeight="1" x14ac:dyDescent="0.25">
      <c r="A30" s="48" t="s">
        <v>138</v>
      </c>
      <c r="B30" s="57" t="s">
        <v>140</v>
      </c>
      <c r="C30" s="50" t="s">
        <v>102</v>
      </c>
      <c r="D30" s="51">
        <v>145000</v>
      </c>
      <c r="E30" s="51">
        <v>0</v>
      </c>
      <c r="F30" s="51">
        <v>145000</v>
      </c>
      <c r="G30" s="51">
        <v>143599.65</v>
      </c>
      <c r="H30" s="51">
        <v>0</v>
      </c>
      <c r="I30" s="51">
        <v>143599.65</v>
      </c>
      <c r="J30" s="52">
        <v>-1400.35</v>
      </c>
      <c r="K30" s="53">
        <v>0.99034241379310339</v>
      </c>
      <c r="L30" s="51">
        <v>147726.93999899999</v>
      </c>
      <c r="M30" s="51">
        <v>0</v>
      </c>
      <c r="N30" s="51">
        <v>147726.93999899999</v>
      </c>
      <c r="O30" s="51">
        <v>2726.9399990000002</v>
      </c>
      <c r="P30" s="54">
        <v>1.018806482751724</v>
      </c>
    </row>
    <row r="31" spans="1:19" ht="15.75" customHeight="1" x14ac:dyDescent="0.25">
      <c r="A31" s="48" t="s">
        <v>138</v>
      </c>
      <c r="B31" s="49" t="s">
        <v>103</v>
      </c>
      <c r="C31" s="50" t="s">
        <v>104</v>
      </c>
      <c r="D31" s="51">
        <v>314000</v>
      </c>
      <c r="E31" s="51">
        <v>0</v>
      </c>
      <c r="F31" s="51">
        <v>314000</v>
      </c>
      <c r="G31" s="51">
        <v>310756.75</v>
      </c>
      <c r="H31" s="51">
        <v>0</v>
      </c>
      <c r="I31" s="51">
        <v>310756.75</v>
      </c>
      <c r="J31" s="52">
        <v>-3243.25</v>
      </c>
      <c r="K31" s="53">
        <v>0.98967117834394902</v>
      </c>
      <c r="L31" s="51">
        <v>319688.436667</v>
      </c>
      <c r="M31" s="51">
        <v>0</v>
      </c>
      <c r="N31" s="51">
        <v>319688.436667</v>
      </c>
      <c r="O31" s="51">
        <v>5688.4366669999999</v>
      </c>
      <c r="P31" s="54">
        <v>1.0181160403407643</v>
      </c>
    </row>
    <row r="32" spans="1:19" ht="15.75" customHeight="1" x14ac:dyDescent="0.25">
      <c r="A32" s="48" t="s">
        <v>138</v>
      </c>
      <c r="B32" s="49" t="s">
        <v>98</v>
      </c>
      <c r="C32" s="50" t="s">
        <v>100</v>
      </c>
      <c r="D32" s="51">
        <v>348000</v>
      </c>
      <c r="E32" s="51">
        <v>0</v>
      </c>
      <c r="F32" s="51">
        <v>348000</v>
      </c>
      <c r="G32" s="51">
        <v>344379.76</v>
      </c>
      <c r="H32" s="51">
        <v>0</v>
      </c>
      <c r="I32" s="51">
        <v>344379.76</v>
      </c>
      <c r="J32" s="52">
        <v>-3620.24</v>
      </c>
      <c r="K32" s="53">
        <v>0.98959701149425283</v>
      </c>
      <c r="L32" s="51">
        <v>354277.873333</v>
      </c>
      <c r="M32" s="51">
        <v>0</v>
      </c>
      <c r="N32" s="51">
        <v>354277.873333</v>
      </c>
      <c r="O32" s="51">
        <v>6277.8733329999995</v>
      </c>
      <c r="P32" s="54">
        <v>1.0180398658994252</v>
      </c>
    </row>
    <row r="33" spans="1:16" ht="15.75" customHeight="1" x14ac:dyDescent="0.25">
      <c r="A33" s="48" t="s">
        <v>138</v>
      </c>
      <c r="B33" s="49" t="s">
        <v>75</v>
      </c>
      <c r="C33" s="50" t="s">
        <v>76</v>
      </c>
      <c r="D33" s="51">
        <v>2746702</v>
      </c>
      <c r="E33" s="51">
        <v>0</v>
      </c>
      <c r="F33" s="51">
        <v>2746702</v>
      </c>
      <c r="G33" s="51">
        <v>559859.18000000005</v>
      </c>
      <c r="H33" s="51">
        <v>0</v>
      </c>
      <c r="I33" s="51">
        <v>559859.18000000005</v>
      </c>
      <c r="J33" s="52">
        <v>-2186842.8199999998</v>
      </c>
      <c r="K33" s="53">
        <v>0.20382960364830258</v>
      </c>
      <c r="L33" s="51">
        <v>1773126.289997</v>
      </c>
      <c r="M33" s="51">
        <v>918361</v>
      </c>
      <c r="N33" s="51">
        <v>2691487.2899969998</v>
      </c>
      <c r="O33" s="52">
        <v>-55214.710003</v>
      </c>
      <c r="P33" s="54">
        <v>0.97989781563380374</v>
      </c>
    </row>
    <row r="34" spans="1:16" ht="15.75" customHeight="1" x14ac:dyDescent="0.25">
      <c r="A34" s="48" t="s">
        <v>138</v>
      </c>
      <c r="B34" s="49" t="s">
        <v>75</v>
      </c>
      <c r="C34" s="50" t="s">
        <v>78</v>
      </c>
      <c r="D34" s="51">
        <v>20000</v>
      </c>
      <c r="E34" s="51">
        <v>0</v>
      </c>
      <c r="F34" s="51">
        <v>20000</v>
      </c>
      <c r="G34" s="51">
        <v>0</v>
      </c>
      <c r="H34" s="51">
        <v>0</v>
      </c>
      <c r="I34" s="51">
        <v>0</v>
      </c>
      <c r="J34" s="52">
        <v>-20000</v>
      </c>
      <c r="K34" s="53">
        <v>0</v>
      </c>
      <c r="L34" s="51">
        <v>1528</v>
      </c>
      <c r="M34" s="51">
        <v>0</v>
      </c>
      <c r="N34" s="51">
        <v>1528</v>
      </c>
      <c r="O34" s="52">
        <v>-18472</v>
      </c>
      <c r="P34" s="54">
        <v>7.6399999999999996E-2</v>
      </c>
    </row>
    <row r="35" spans="1:16" ht="15.75" customHeight="1" x14ac:dyDescent="0.25">
      <c r="A35" s="48" t="s">
        <v>138</v>
      </c>
      <c r="B35" s="49" t="s">
        <v>75</v>
      </c>
      <c r="C35" s="50" t="s">
        <v>79</v>
      </c>
      <c r="D35" s="51">
        <v>1196000</v>
      </c>
      <c r="E35" s="51">
        <v>0</v>
      </c>
      <c r="F35" s="51">
        <v>1196000</v>
      </c>
      <c r="G35" s="51">
        <v>834076.09</v>
      </c>
      <c r="H35" s="51">
        <v>0</v>
      </c>
      <c r="I35" s="51">
        <v>834076.09</v>
      </c>
      <c r="J35" s="52">
        <v>-361923.91</v>
      </c>
      <c r="K35" s="53">
        <v>0.69738803511705683</v>
      </c>
      <c r="L35" s="51">
        <v>1328598.1566659999</v>
      </c>
      <c r="M35" s="51">
        <v>0</v>
      </c>
      <c r="N35" s="51">
        <v>1328598.1566659999</v>
      </c>
      <c r="O35" s="51">
        <v>132598.156666</v>
      </c>
      <c r="P35" s="54">
        <v>1.1108680239682274</v>
      </c>
    </row>
    <row r="36" spans="1:16" ht="15.75" customHeight="1" x14ac:dyDescent="0.25">
      <c r="A36" s="48" t="s">
        <v>138</v>
      </c>
      <c r="B36" s="49" t="s">
        <v>75</v>
      </c>
      <c r="C36" s="50" t="s">
        <v>80</v>
      </c>
      <c r="D36" s="51">
        <v>1500</v>
      </c>
      <c r="E36" s="51">
        <v>0</v>
      </c>
      <c r="F36" s="51">
        <v>1500</v>
      </c>
      <c r="G36" s="51">
        <v>0</v>
      </c>
      <c r="H36" s="51">
        <v>0</v>
      </c>
      <c r="I36" s="51">
        <v>0</v>
      </c>
      <c r="J36" s="52">
        <v>-1500</v>
      </c>
      <c r="K36" s="53">
        <v>0</v>
      </c>
      <c r="L36" s="51">
        <v>0</v>
      </c>
      <c r="M36" s="51">
        <v>0</v>
      </c>
      <c r="N36" s="51">
        <v>0</v>
      </c>
      <c r="O36" s="52">
        <v>-1500</v>
      </c>
      <c r="P36" s="54">
        <v>0</v>
      </c>
    </row>
    <row r="37" spans="1:16" ht="15.75" customHeight="1" x14ac:dyDescent="0.25">
      <c r="A37" s="48" t="s">
        <v>138</v>
      </c>
      <c r="B37" s="49" t="s">
        <v>75</v>
      </c>
      <c r="C37" s="50" t="s">
        <v>81</v>
      </c>
      <c r="D37" s="51">
        <v>418000</v>
      </c>
      <c r="E37" s="51">
        <v>0</v>
      </c>
      <c r="F37" s="51">
        <v>418000</v>
      </c>
      <c r="G37" s="51">
        <v>446577.48</v>
      </c>
      <c r="H37" s="51">
        <v>0</v>
      </c>
      <c r="I37" s="51">
        <v>446577.48</v>
      </c>
      <c r="J37" s="51">
        <v>28577.48</v>
      </c>
      <c r="K37" s="53">
        <v>1.0683671770334928</v>
      </c>
      <c r="L37" s="51">
        <v>481994.11999899999</v>
      </c>
      <c r="M37" s="51">
        <v>0</v>
      </c>
      <c r="N37" s="51">
        <v>481994.11999899999</v>
      </c>
      <c r="O37" s="51">
        <v>63994.119999000002</v>
      </c>
      <c r="P37" s="54">
        <v>1.1530959808588517</v>
      </c>
    </row>
    <row r="38" spans="1:16" ht="15.75" customHeight="1" x14ac:dyDescent="0.25">
      <c r="A38" s="48" t="s">
        <v>138</v>
      </c>
      <c r="B38" s="49" t="s">
        <v>75</v>
      </c>
      <c r="C38" s="50" t="s">
        <v>82</v>
      </c>
      <c r="D38" s="51">
        <v>35000</v>
      </c>
      <c r="E38" s="51">
        <v>0</v>
      </c>
      <c r="F38" s="51">
        <v>35000</v>
      </c>
      <c r="G38" s="51">
        <v>41897.33</v>
      </c>
      <c r="H38" s="51">
        <v>0</v>
      </c>
      <c r="I38" s="51">
        <v>41897.33</v>
      </c>
      <c r="J38" s="51">
        <v>6897.33</v>
      </c>
      <c r="K38" s="53">
        <v>1.1970665714285715</v>
      </c>
      <c r="L38" s="51">
        <v>59705.303333000003</v>
      </c>
      <c r="M38" s="51">
        <v>0</v>
      </c>
      <c r="N38" s="51">
        <v>59705.303333000003</v>
      </c>
      <c r="O38" s="51">
        <v>24705.303333</v>
      </c>
      <c r="P38" s="54">
        <v>1.7058658095142858</v>
      </c>
    </row>
    <row r="39" spans="1:16" ht="15.75" customHeight="1" x14ac:dyDescent="0.25">
      <c r="A39" s="48" t="s">
        <v>138</v>
      </c>
      <c r="B39" s="49" t="s">
        <v>94</v>
      </c>
      <c r="C39" s="50" t="s">
        <v>95</v>
      </c>
      <c r="D39" s="51">
        <v>367000</v>
      </c>
      <c r="E39" s="51">
        <v>0</v>
      </c>
      <c r="F39" s="51">
        <v>367000</v>
      </c>
      <c r="G39" s="51">
        <v>359675.65</v>
      </c>
      <c r="H39" s="51">
        <v>0</v>
      </c>
      <c r="I39" s="51">
        <v>359675.65</v>
      </c>
      <c r="J39" s="52">
        <v>-7324.35</v>
      </c>
      <c r="K39" s="53">
        <v>0.98004264305177113</v>
      </c>
      <c r="L39" s="51">
        <v>374028.34999900003</v>
      </c>
      <c r="M39" s="51">
        <v>0</v>
      </c>
      <c r="N39" s="51">
        <v>374028.34999900003</v>
      </c>
      <c r="O39" s="51">
        <v>7028.349999</v>
      </c>
      <c r="P39" s="54">
        <v>1.0191508174359674</v>
      </c>
    </row>
    <row r="40" spans="1:16" ht="15.75" customHeight="1" x14ac:dyDescent="0.25">
      <c r="A40" s="48" t="s">
        <v>138</v>
      </c>
      <c r="B40" s="49" t="s">
        <v>15</v>
      </c>
      <c r="C40" s="50" t="s">
        <v>84</v>
      </c>
      <c r="D40" s="51">
        <v>941273</v>
      </c>
      <c r="E40" s="51">
        <v>0</v>
      </c>
      <c r="F40" s="51">
        <v>941273</v>
      </c>
      <c r="G40" s="51">
        <v>670749.81000000006</v>
      </c>
      <c r="H40" s="51">
        <v>0</v>
      </c>
      <c r="I40" s="51">
        <v>670749.81000000006</v>
      </c>
      <c r="J40" s="52">
        <v>-270523.19</v>
      </c>
      <c r="K40" s="53">
        <v>0.712598587232397</v>
      </c>
      <c r="L40" s="51">
        <v>1007868.936668</v>
      </c>
      <c r="M40" s="52">
        <v>-122303</v>
      </c>
      <c r="N40" s="51">
        <v>885565.93666799995</v>
      </c>
      <c r="O40" s="52">
        <v>-55707.063331999998</v>
      </c>
      <c r="P40" s="54">
        <v>0.94081731513386657</v>
      </c>
    </row>
    <row r="41" spans="1:16" ht="15.75" customHeight="1" x14ac:dyDescent="0.25">
      <c r="A41" s="48" t="s">
        <v>138</v>
      </c>
      <c r="B41" s="49" t="s">
        <v>15</v>
      </c>
      <c r="C41" s="50" t="s">
        <v>85</v>
      </c>
      <c r="D41" s="51">
        <v>100168</v>
      </c>
      <c r="E41" s="51">
        <v>0</v>
      </c>
      <c r="F41" s="51">
        <v>100168</v>
      </c>
      <c r="G41" s="51">
        <v>69074</v>
      </c>
      <c r="H41" s="51">
        <v>0</v>
      </c>
      <c r="I41" s="51">
        <v>69074</v>
      </c>
      <c r="J41" s="52">
        <v>-31094</v>
      </c>
      <c r="K41" s="53">
        <v>0.68958150307483423</v>
      </c>
      <c r="L41" s="51">
        <v>114367.446667</v>
      </c>
      <c r="M41" s="52">
        <v>-14199</v>
      </c>
      <c r="N41" s="51">
        <v>100168.446667</v>
      </c>
      <c r="O41" s="51">
        <v>0.44666699999999998</v>
      </c>
      <c r="P41" s="54">
        <v>1.0000044591785799</v>
      </c>
    </row>
    <row r="42" spans="1:16" ht="15.75" customHeight="1" x14ac:dyDescent="0.25">
      <c r="A42" s="48" t="s">
        <v>138</v>
      </c>
      <c r="B42" s="49" t="s">
        <v>15</v>
      </c>
      <c r="C42" s="50" t="s">
        <v>86</v>
      </c>
      <c r="D42" s="51">
        <v>201400</v>
      </c>
      <c r="E42" s="51">
        <v>0</v>
      </c>
      <c r="F42" s="51">
        <v>201400</v>
      </c>
      <c r="G42" s="51">
        <v>84727.3</v>
      </c>
      <c r="H42" s="51">
        <v>0</v>
      </c>
      <c r="I42" s="51">
        <v>84727.3</v>
      </c>
      <c r="J42" s="52">
        <v>-116672.7</v>
      </c>
      <c r="K42" s="53">
        <v>0.42069165839126116</v>
      </c>
      <c r="L42" s="51">
        <v>218904.63333400001</v>
      </c>
      <c r="M42" s="52">
        <v>-12905</v>
      </c>
      <c r="N42" s="51">
        <v>205999.63333400001</v>
      </c>
      <c r="O42" s="51">
        <v>4599.6333340000001</v>
      </c>
      <c r="P42" s="54">
        <v>1.0228382985799405</v>
      </c>
    </row>
    <row r="43" spans="1:16" ht="15.75" customHeight="1" x14ac:dyDescent="0.25">
      <c r="A43" s="48" t="s">
        <v>138</v>
      </c>
      <c r="B43" s="49" t="s">
        <v>112</v>
      </c>
      <c r="C43" s="50" t="s">
        <v>113</v>
      </c>
      <c r="D43" s="51">
        <v>74713</v>
      </c>
      <c r="E43" s="51">
        <v>0</v>
      </c>
      <c r="F43" s="51">
        <v>74713</v>
      </c>
      <c r="G43" s="52">
        <v>-51400.4</v>
      </c>
      <c r="H43" s="51">
        <v>0</v>
      </c>
      <c r="I43" s="52">
        <v>-51400.4</v>
      </c>
      <c r="J43" s="52">
        <v>-126113.4</v>
      </c>
      <c r="K43" s="55">
        <v>-0.68797130352147551</v>
      </c>
      <c r="L43" s="51">
        <v>83005.976666000002</v>
      </c>
      <c r="M43" s="51">
        <v>0</v>
      </c>
      <c r="N43" s="51">
        <v>83005.976666000002</v>
      </c>
      <c r="O43" s="51">
        <v>8292.9766660000005</v>
      </c>
      <c r="P43" s="54">
        <v>1.1109977736940024</v>
      </c>
    </row>
    <row r="44" spans="1:16" ht="15.75" customHeight="1" x14ac:dyDescent="0.25">
      <c r="A44" s="48" t="s">
        <v>138</v>
      </c>
      <c r="B44" s="49" t="s">
        <v>112</v>
      </c>
      <c r="C44" s="50" t="s">
        <v>114</v>
      </c>
      <c r="D44" s="51">
        <v>969000</v>
      </c>
      <c r="E44" s="51">
        <v>0</v>
      </c>
      <c r="F44" s="51">
        <v>969000</v>
      </c>
      <c r="G44" s="51">
        <v>668449.73</v>
      </c>
      <c r="H44" s="51">
        <v>0</v>
      </c>
      <c r="I44" s="51">
        <v>668449.73</v>
      </c>
      <c r="J44" s="52">
        <v>-300550.27</v>
      </c>
      <c r="K44" s="53">
        <v>0.68983460268317853</v>
      </c>
      <c r="L44" s="51">
        <v>898072.34333399998</v>
      </c>
      <c r="M44" s="51">
        <v>0</v>
      </c>
      <c r="N44" s="51">
        <v>898072.34333399998</v>
      </c>
      <c r="O44" s="52">
        <v>-70927.656665999995</v>
      </c>
      <c r="P44" s="54">
        <v>0.92680324389473689</v>
      </c>
    </row>
    <row r="45" spans="1:16" ht="15.75" customHeight="1" x14ac:dyDescent="0.25">
      <c r="A45" s="48" t="s">
        <v>138</v>
      </c>
      <c r="B45" s="49" t="s">
        <v>105</v>
      </c>
      <c r="C45" s="50" t="s">
        <v>106</v>
      </c>
      <c r="D45" s="51">
        <v>853000</v>
      </c>
      <c r="E45" s="51">
        <v>0</v>
      </c>
      <c r="F45" s="51">
        <v>853000</v>
      </c>
      <c r="G45" s="51">
        <v>430000</v>
      </c>
      <c r="H45" s="51">
        <v>0</v>
      </c>
      <c r="I45" s="51">
        <v>430000</v>
      </c>
      <c r="J45" s="52">
        <v>-423000</v>
      </c>
      <c r="K45" s="53">
        <v>0.50410316529894494</v>
      </c>
      <c r="L45" s="51">
        <v>430000</v>
      </c>
      <c r="M45" s="51">
        <v>423000</v>
      </c>
      <c r="N45" s="51">
        <v>853000</v>
      </c>
      <c r="O45" s="51">
        <v>0</v>
      </c>
      <c r="P45" s="54">
        <v>1</v>
      </c>
    </row>
    <row r="46" spans="1:16" ht="15.75" customHeight="1" x14ac:dyDescent="0.25">
      <c r="A46" s="48" t="s">
        <v>138</v>
      </c>
      <c r="B46" s="49" t="s">
        <v>105</v>
      </c>
      <c r="C46" s="50" t="s">
        <v>109</v>
      </c>
      <c r="D46" s="51">
        <v>100000</v>
      </c>
      <c r="E46" s="51">
        <v>0</v>
      </c>
      <c r="F46" s="51">
        <v>100000</v>
      </c>
      <c r="G46" s="51">
        <v>100000</v>
      </c>
      <c r="H46" s="51">
        <v>0</v>
      </c>
      <c r="I46" s="51">
        <v>100000</v>
      </c>
      <c r="J46" s="51">
        <v>0</v>
      </c>
      <c r="K46" s="53">
        <v>1</v>
      </c>
      <c r="L46" s="51">
        <v>100000</v>
      </c>
      <c r="M46" s="51">
        <v>0</v>
      </c>
      <c r="N46" s="51">
        <v>100000</v>
      </c>
      <c r="O46" s="51">
        <v>0</v>
      </c>
      <c r="P46" s="54">
        <v>1</v>
      </c>
    </row>
    <row r="47" spans="1:16" ht="15.75" customHeight="1" x14ac:dyDescent="0.25">
      <c r="A47" s="48" t="s">
        <v>138</v>
      </c>
      <c r="B47" s="49" t="s">
        <v>105</v>
      </c>
      <c r="C47" s="50" t="s">
        <v>111</v>
      </c>
      <c r="D47" s="51">
        <v>2000</v>
      </c>
      <c r="E47" s="51">
        <v>0</v>
      </c>
      <c r="F47" s="51">
        <v>2000</v>
      </c>
      <c r="G47" s="51">
        <v>2000</v>
      </c>
      <c r="H47" s="51">
        <v>0</v>
      </c>
      <c r="I47" s="51">
        <v>2000</v>
      </c>
      <c r="J47" s="51">
        <v>0</v>
      </c>
      <c r="K47" s="53">
        <v>1</v>
      </c>
      <c r="L47" s="51">
        <v>2000</v>
      </c>
      <c r="M47" s="51">
        <v>0</v>
      </c>
      <c r="N47" s="51">
        <v>2000</v>
      </c>
      <c r="O47" s="51">
        <v>0</v>
      </c>
      <c r="P47" s="54">
        <v>1</v>
      </c>
    </row>
    <row r="48" spans="1:16" ht="15.75" customHeight="1" x14ac:dyDescent="0.25">
      <c r="A48" s="48" t="s">
        <v>138</v>
      </c>
      <c r="B48" s="49" t="s">
        <v>72</v>
      </c>
      <c r="C48" s="50" t="s">
        <v>73</v>
      </c>
      <c r="D48" s="51">
        <v>200000</v>
      </c>
      <c r="E48" s="51">
        <v>0</v>
      </c>
      <c r="F48" s="51">
        <v>200000</v>
      </c>
      <c r="G48" s="51">
        <v>86676.800000000003</v>
      </c>
      <c r="H48" s="51">
        <v>0</v>
      </c>
      <c r="I48" s="51">
        <v>86676.800000000003</v>
      </c>
      <c r="J48" s="52">
        <v>-113323.2</v>
      </c>
      <c r="K48" s="53">
        <v>0.43338399999999999</v>
      </c>
      <c r="L48" s="51">
        <v>145110.29</v>
      </c>
      <c r="M48" s="51">
        <v>0</v>
      </c>
      <c r="N48" s="51">
        <v>145110.29</v>
      </c>
      <c r="O48" s="52">
        <v>-54889.71</v>
      </c>
      <c r="P48" s="54">
        <v>0.72555144999999999</v>
      </c>
    </row>
    <row r="49" spans="1:16" ht="15.75" customHeight="1" x14ac:dyDescent="0.25">
      <c r="A49" s="48" t="s">
        <v>141</v>
      </c>
      <c r="B49" s="49" t="s">
        <v>139</v>
      </c>
      <c r="C49" s="50" t="s">
        <v>53</v>
      </c>
      <c r="D49" s="51">
        <v>49750</v>
      </c>
      <c r="E49" s="51">
        <v>0</v>
      </c>
      <c r="F49" s="51">
        <v>49750</v>
      </c>
      <c r="G49" s="51">
        <v>55116.88</v>
      </c>
      <c r="H49" s="51">
        <v>0</v>
      </c>
      <c r="I49" s="51">
        <v>55116.88</v>
      </c>
      <c r="J49" s="52">
        <v>-5366.88</v>
      </c>
      <c r="K49" s="53">
        <v>1.1078769849246231</v>
      </c>
      <c r="L49" s="51">
        <v>71047.063330999998</v>
      </c>
      <c r="M49" s="51">
        <v>0</v>
      </c>
      <c r="N49" s="51">
        <v>71047.063330999998</v>
      </c>
      <c r="O49" s="52">
        <v>-21297.063331000001</v>
      </c>
      <c r="P49" s="54">
        <v>1.428081674994975</v>
      </c>
    </row>
    <row r="50" spans="1:16" ht="15.75" customHeight="1" x14ac:dyDescent="0.25">
      <c r="A50" s="48" t="s">
        <v>141</v>
      </c>
      <c r="B50" s="49" t="s">
        <v>139</v>
      </c>
      <c r="C50" s="50" t="s">
        <v>54</v>
      </c>
      <c r="D50" s="51">
        <v>0</v>
      </c>
      <c r="E50" s="51">
        <v>0</v>
      </c>
      <c r="F50" s="51">
        <v>0</v>
      </c>
      <c r="G50" s="51">
        <v>1763.57</v>
      </c>
      <c r="H50" s="51">
        <v>0</v>
      </c>
      <c r="I50" s="51">
        <v>1763.57</v>
      </c>
      <c r="J50" s="52">
        <v>-1763.57</v>
      </c>
      <c r="K50" s="55">
        <v>-1</v>
      </c>
      <c r="L50" s="51">
        <v>2400.9299999999998</v>
      </c>
      <c r="M50" s="51">
        <v>0</v>
      </c>
      <c r="N50" s="51">
        <v>2400.9299999999998</v>
      </c>
      <c r="O50" s="52">
        <v>-2400.9299999999998</v>
      </c>
      <c r="P50" s="58">
        <v>-1</v>
      </c>
    </row>
    <row r="51" spans="1:16" ht="15.75" customHeight="1" x14ac:dyDescent="0.25">
      <c r="A51" s="48" t="s">
        <v>141</v>
      </c>
      <c r="B51" s="49" t="s">
        <v>139</v>
      </c>
      <c r="C51" s="50" t="s">
        <v>55</v>
      </c>
      <c r="D51" s="51">
        <v>0</v>
      </c>
      <c r="E51" s="51">
        <v>0</v>
      </c>
      <c r="F51" s="51">
        <v>0</v>
      </c>
      <c r="G51" s="51">
        <v>921.28</v>
      </c>
      <c r="H51" s="51">
        <v>0</v>
      </c>
      <c r="I51" s="51">
        <v>921.28</v>
      </c>
      <c r="J51" s="52">
        <v>-921.28</v>
      </c>
      <c r="K51" s="55">
        <v>-1</v>
      </c>
      <c r="L51" s="51">
        <v>924.98333300000002</v>
      </c>
      <c r="M51" s="51">
        <v>0</v>
      </c>
      <c r="N51" s="51">
        <v>924.98333300000002</v>
      </c>
      <c r="O51" s="52">
        <v>-924.98333300000002</v>
      </c>
      <c r="P51" s="58">
        <v>-1</v>
      </c>
    </row>
    <row r="52" spans="1:16" ht="15.75" customHeight="1" x14ac:dyDescent="0.25">
      <c r="A52" s="48" t="s">
        <v>141</v>
      </c>
      <c r="B52" s="49" t="s">
        <v>139</v>
      </c>
      <c r="C52" s="50" t="s">
        <v>56</v>
      </c>
      <c r="D52" s="51">
        <v>0</v>
      </c>
      <c r="E52" s="51">
        <v>0</v>
      </c>
      <c r="F52" s="51">
        <v>0</v>
      </c>
      <c r="G52" s="52">
        <v>-953.88</v>
      </c>
      <c r="H52" s="51">
        <v>0</v>
      </c>
      <c r="I52" s="52">
        <v>-953.88</v>
      </c>
      <c r="J52" s="51">
        <v>953.88</v>
      </c>
      <c r="K52" s="55">
        <v>-1</v>
      </c>
      <c r="L52" s="51">
        <v>1516.8699979999999</v>
      </c>
      <c r="M52" s="51">
        <v>0</v>
      </c>
      <c r="N52" s="51">
        <v>1516.8699979999999</v>
      </c>
      <c r="O52" s="52">
        <v>-1516.8699979999999</v>
      </c>
      <c r="P52" s="58">
        <v>-1</v>
      </c>
    </row>
    <row r="53" spans="1:16" ht="15.75" customHeight="1" x14ac:dyDescent="0.25">
      <c r="A53" s="48" t="s">
        <v>141</v>
      </c>
      <c r="B53" s="49" t="s">
        <v>139</v>
      </c>
      <c r="C53" s="50" t="s">
        <v>57</v>
      </c>
      <c r="D53" s="51">
        <v>500</v>
      </c>
      <c r="E53" s="51">
        <v>0</v>
      </c>
      <c r="F53" s="51">
        <v>500</v>
      </c>
      <c r="G53" s="51">
        <v>5625.28</v>
      </c>
      <c r="H53" s="51">
        <v>0</v>
      </c>
      <c r="I53" s="51">
        <v>5625.28</v>
      </c>
      <c r="J53" s="52">
        <v>-5125.28</v>
      </c>
      <c r="K53" s="53">
        <v>9.99</v>
      </c>
      <c r="L53" s="51">
        <v>5659.2233329999999</v>
      </c>
      <c r="M53" s="51">
        <v>0</v>
      </c>
      <c r="N53" s="51">
        <v>5659.2233329999999</v>
      </c>
      <c r="O53" s="52">
        <v>-5159.2233329999999</v>
      </c>
      <c r="P53" s="54">
        <v>9.99</v>
      </c>
    </row>
    <row r="54" spans="1:16" ht="15.75" customHeight="1" x14ac:dyDescent="0.25">
      <c r="A54" s="48" t="s">
        <v>141</v>
      </c>
      <c r="B54" s="49" t="s">
        <v>139</v>
      </c>
      <c r="C54" s="50" t="s">
        <v>58</v>
      </c>
      <c r="D54" s="51">
        <v>0</v>
      </c>
      <c r="E54" s="51">
        <v>0</v>
      </c>
      <c r="F54" s="51">
        <v>0</v>
      </c>
      <c r="G54" s="51">
        <v>60.38</v>
      </c>
      <c r="H54" s="51">
        <v>0</v>
      </c>
      <c r="I54" s="51">
        <v>60.38</v>
      </c>
      <c r="J54" s="52">
        <v>-60.38</v>
      </c>
      <c r="K54" s="55">
        <v>-1</v>
      </c>
      <c r="L54" s="51">
        <v>63.29</v>
      </c>
      <c r="M54" s="51">
        <v>0</v>
      </c>
      <c r="N54" s="51">
        <v>63.29</v>
      </c>
      <c r="O54" s="52">
        <v>-63.29</v>
      </c>
      <c r="P54" s="58">
        <v>-1</v>
      </c>
    </row>
    <row r="55" spans="1:16" ht="15.75" customHeight="1" x14ac:dyDescent="0.25">
      <c r="A55" s="48" t="s">
        <v>141</v>
      </c>
      <c r="B55" s="49" t="s">
        <v>139</v>
      </c>
      <c r="C55" s="50" t="s">
        <v>59</v>
      </c>
      <c r="D55" s="51">
        <v>2000</v>
      </c>
      <c r="E55" s="51">
        <v>0</v>
      </c>
      <c r="F55" s="51">
        <v>2000</v>
      </c>
      <c r="G55" s="51">
        <v>467.43</v>
      </c>
      <c r="H55" s="51">
        <v>0</v>
      </c>
      <c r="I55" s="51">
        <v>467.43</v>
      </c>
      <c r="J55" s="51">
        <v>1532.57</v>
      </c>
      <c r="K55" s="53">
        <v>0.23371500000000001</v>
      </c>
      <c r="L55" s="51">
        <v>467.43</v>
      </c>
      <c r="M55" s="51">
        <v>0</v>
      </c>
      <c r="N55" s="51">
        <v>467.43</v>
      </c>
      <c r="O55" s="51">
        <v>1532.57</v>
      </c>
      <c r="P55" s="54">
        <v>0.23371500000000001</v>
      </c>
    </row>
    <row r="56" spans="1:16" ht="15.75" customHeight="1" x14ac:dyDescent="0.25">
      <c r="A56" s="48" t="s">
        <v>141</v>
      </c>
      <c r="B56" s="49" t="s">
        <v>139</v>
      </c>
      <c r="C56" s="50" t="s">
        <v>60</v>
      </c>
      <c r="D56" s="51">
        <v>0</v>
      </c>
      <c r="E56" s="51">
        <v>0</v>
      </c>
      <c r="F56" s="51">
        <v>0</v>
      </c>
      <c r="G56" s="52">
        <v>-1694.54</v>
      </c>
      <c r="H56" s="51">
        <v>0</v>
      </c>
      <c r="I56" s="52">
        <v>-1694.54</v>
      </c>
      <c r="J56" s="51">
        <v>1694.54</v>
      </c>
      <c r="K56" s="55">
        <v>-1</v>
      </c>
      <c r="L56" s="51">
        <v>1847.9166660000001</v>
      </c>
      <c r="M56" s="51">
        <v>0</v>
      </c>
      <c r="N56" s="51">
        <v>1847.9166660000001</v>
      </c>
      <c r="O56" s="52">
        <v>-1847.9166660000001</v>
      </c>
      <c r="P56" s="58">
        <v>-1</v>
      </c>
    </row>
    <row r="57" spans="1:16" ht="15.75" customHeight="1" x14ac:dyDescent="0.25">
      <c r="A57" s="48" t="s">
        <v>141</v>
      </c>
      <c r="B57" s="49" t="s">
        <v>139</v>
      </c>
      <c r="C57" s="50" t="s">
        <v>61</v>
      </c>
      <c r="D57" s="51">
        <v>0</v>
      </c>
      <c r="E57" s="51">
        <v>0</v>
      </c>
      <c r="F57" s="51">
        <v>0</v>
      </c>
      <c r="G57" s="51">
        <v>1615.58</v>
      </c>
      <c r="H57" s="51">
        <v>0</v>
      </c>
      <c r="I57" s="51">
        <v>1615.58</v>
      </c>
      <c r="J57" s="52">
        <v>-1615.58</v>
      </c>
      <c r="K57" s="55">
        <v>-1</v>
      </c>
      <c r="L57" s="51">
        <v>1619.083333</v>
      </c>
      <c r="M57" s="51">
        <v>0</v>
      </c>
      <c r="N57" s="51">
        <v>1619.083333</v>
      </c>
      <c r="O57" s="52">
        <v>-1619.083333</v>
      </c>
      <c r="P57" s="58">
        <v>-1</v>
      </c>
    </row>
    <row r="58" spans="1:16" ht="15.75" customHeight="1" x14ac:dyDescent="0.25">
      <c r="A58" s="48" t="s">
        <v>141</v>
      </c>
      <c r="B58" s="49" t="s">
        <v>139</v>
      </c>
      <c r="C58" s="50" t="s">
        <v>62</v>
      </c>
      <c r="D58" s="51">
        <v>0</v>
      </c>
      <c r="E58" s="51">
        <v>0</v>
      </c>
      <c r="F58" s="51">
        <v>0</v>
      </c>
      <c r="G58" s="51">
        <v>1690.45</v>
      </c>
      <c r="H58" s="51">
        <v>0</v>
      </c>
      <c r="I58" s="51">
        <v>1690.45</v>
      </c>
      <c r="J58" s="52">
        <v>-1690.45</v>
      </c>
      <c r="K58" s="55">
        <v>-1</v>
      </c>
      <c r="L58" s="51">
        <v>1691.756666</v>
      </c>
      <c r="M58" s="51">
        <v>0</v>
      </c>
      <c r="N58" s="51">
        <v>1691.756666</v>
      </c>
      <c r="O58" s="52">
        <v>-1691.756666</v>
      </c>
      <c r="P58" s="58">
        <v>-1</v>
      </c>
    </row>
    <row r="59" spans="1:16" ht="15.75" customHeight="1" x14ac:dyDescent="0.25">
      <c r="A59" s="48" t="s">
        <v>141</v>
      </c>
      <c r="B59" s="49" t="s">
        <v>139</v>
      </c>
      <c r="C59" s="50" t="s">
        <v>63</v>
      </c>
      <c r="D59" s="51">
        <v>150</v>
      </c>
      <c r="E59" s="51">
        <v>0</v>
      </c>
      <c r="F59" s="51">
        <v>150</v>
      </c>
      <c r="G59" s="51">
        <v>4794.83</v>
      </c>
      <c r="H59" s="51">
        <v>0</v>
      </c>
      <c r="I59" s="51">
        <v>4794.83</v>
      </c>
      <c r="J59" s="52">
        <v>-4644.83</v>
      </c>
      <c r="K59" s="53">
        <v>9.99</v>
      </c>
      <c r="L59" s="51">
        <v>4862.4066670000002</v>
      </c>
      <c r="M59" s="51">
        <v>0</v>
      </c>
      <c r="N59" s="51">
        <v>4862.4066670000002</v>
      </c>
      <c r="O59" s="52">
        <v>-4712.4066670000002</v>
      </c>
      <c r="P59" s="54">
        <v>9.99</v>
      </c>
    </row>
    <row r="60" spans="1:16" ht="15.75" customHeight="1" x14ac:dyDescent="0.25">
      <c r="A60" s="48" t="s">
        <v>141</v>
      </c>
      <c r="B60" s="49" t="s">
        <v>139</v>
      </c>
      <c r="C60" s="50" t="s">
        <v>64</v>
      </c>
      <c r="D60" s="51">
        <v>1700</v>
      </c>
      <c r="E60" s="51">
        <v>0</v>
      </c>
      <c r="F60" s="51">
        <v>1700</v>
      </c>
      <c r="G60" s="51">
        <v>100.78</v>
      </c>
      <c r="H60" s="51">
        <v>0</v>
      </c>
      <c r="I60" s="51">
        <v>100.78</v>
      </c>
      <c r="J60" s="51">
        <v>1599.22</v>
      </c>
      <c r="K60" s="53">
        <v>5.9282352941176474E-2</v>
      </c>
      <c r="L60" s="51">
        <v>103.29</v>
      </c>
      <c r="M60" s="51">
        <v>0</v>
      </c>
      <c r="N60" s="51">
        <v>103.29</v>
      </c>
      <c r="O60" s="51">
        <v>1596.71</v>
      </c>
      <c r="P60" s="54">
        <v>6.0758823529411768E-2</v>
      </c>
    </row>
    <row r="61" spans="1:16" ht="15.75" customHeight="1" x14ac:dyDescent="0.25">
      <c r="A61" s="48" t="s">
        <v>141</v>
      </c>
      <c r="B61" s="49" t="s">
        <v>139</v>
      </c>
      <c r="C61" s="50" t="s">
        <v>65</v>
      </c>
      <c r="D61" s="51">
        <v>0</v>
      </c>
      <c r="E61" s="51">
        <v>0</v>
      </c>
      <c r="F61" s="51">
        <v>0</v>
      </c>
      <c r="G61" s="51">
        <v>4537.08</v>
      </c>
      <c r="H61" s="51">
        <v>0</v>
      </c>
      <c r="I61" s="51">
        <v>4537.08</v>
      </c>
      <c r="J61" s="52">
        <v>-4537.08</v>
      </c>
      <c r="K61" s="55">
        <v>-1</v>
      </c>
      <c r="L61" s="51">
        <v>4564.0733330000003</v>
      </c>
      <c r="M61" s="51">
        <v>0</v>
      </c>
      <c r="N61" s="51">
        <v>4564.0733330000003</v>
      </c>
      <c r="O61" s="52">
        <v>-4564.0733330000003</v>
      </c>
      <c r="P61" s="58">
        <v>-1</v>
      </c>
    </row>
    <row r="62" spans="1:16" ht="15.75" customHeight="1" x14ac:dyDescent="0.25">
      <c r="A62" s="48" t="s">
        <v>141</v>
      </c>
      <c r="B62" s="49" t="s">
        <v>96</v>
      </c>
      <c r="C62" s="50" t="s">
        <v>97</v>
      </c>
      <c r="D62" s="51">
        <v>15385312</v>
      </c>
      <c r="E62" s="51">
        <v>0</v>
      </c>
      <c r="F62" s="51">
        <v>15385312</v>
      </c>
      <c r="G62" s="51">
        <v>7895805.1699999999</v>
      </c>
      <c r="H62" s="51">
        <v>1264366.01</v>
      </c>
      <c r="I62" s="51">
        <v>9160171.1799999997</v>
      </c>
      <c r="J62" s="51">
        <v>6225140.8200000003</v>
      </c>
      <c r="K62" s="53">
        <v>0.59538416770488634</v>
      </c>
      <c r="L62" s="51">
        <v>13491973.109998001</v>
      </c>
      <c r="M62" s="51">
        <v>2115040</v>
      </c>
      <c r="N62" s="51">
        <v>15607013.109998001</v>
      </c>
      <c r="O62" s="52">
        <v>-1486067.1199980001</v>
      </c>
      <c r="P62" s="54">
        <v>1.0965899892051587</v>
      </c>
    </row>
    <row r="63" spans="1:16" ht="15.75" customHeight="1" x14ac:dyDescent="0.25">
      <c r="A63" s="48" t="s">
        <v>141</v>
      </c>
      <c r="B63" s="49" t="s">
        <v>89</v>
      </c>
      <c r="C63" s="50" t="s">
        <v>90</v>
      </c>
      <c r="D63" s="51">
        <v>8895827</v>
      </c>
      <c r="E63" s="51">
        <v>0</v>
      </c>
      <c r="F63" s="51">
        <v>8895827</v>
      </c>
      <c r="G63" s="51">
        <v>3459054.27</v>
      </c>
      <c r="H63" s="51">
        <v>232484.37</v>
      </c>
      <c r="I63" s="51">
        <v>3691538.64</v>
      </c>
      <c r="J63" s="51">
        <v>5204288.3600000003</v>
      </c>
      <c r="K63" s="53">
        <v>0.41497419407998831</v>
      </c>
      <c r="L63" s="51">
        <v>8468029.7266659997</v>
      </c>
      <c r="M63" s="52">
        <v>-423000</v>
      </c>
      <c r="N63" s="51">
        <v>8045029.7266659997</v>
      </c>
      <c r="O63" s="51">
        <v>618312.90333400003</v>
      </c>
      <c r="P63" s="54">
        <v>0.93049405037508037</v>
      </c>
    </row>
    <row r="64" spans="1:16" ht="15.75" customHeight="1" x14ac:dyDescent="0.25">
      <c r="A64" s="48" t="s">
        <v>141</v>
      </c>
      <c r="B64" s="49" t="s">
        <v>115</v>
      </c>
      <c r="C64" s="50" t="s">
        <v>116</v>
      </c>
      <c r="D64" s="51">
        <v>1059616</v>
      </c>
      <c r="E64" s="51">
        <v>0</v>
      </c>
      <c r="F64" s="51">
        <v>1059616</v>
      </c>
      <c r="G64" s="51">
        <v>542683.04</v>
      </c>
      <c r="H64" s="51">
        <v>12396.97</v>
      </c>
      <c r="I64" s="51">
        <v>555080.01</v>
      </c>
      <c r="J64" s="51">
        <v>504535.99</v>
      </c>
      <c r="K64" s="53">
        <v>0.52385015892549758</v>
      </c>
      <c r="L64" s="51">
        <v>894388.17666600004</v>
      </c>
      <c r="M64" s="51">
        <v>120605</v>
      </c>
      <c r="N64" s="51">
        <v>1014993.176666</v>
      </c>
      <c r="O64" s="51">
        <v>32225.853333999999</v>
      </c>
      <c r="P64" s="54">
        <v>0.96958723411688763</v>
      </c>
    </row>
    <row r="65" spans="1:16" ht="15.75" customHeight="1" x14ac:dyDescent="0.25">
      <c r="A65" s="48" t="s">
        <v>141</v>
      </c>
      <c r="B65" s="49" t="s">
        <v>115</v>
      </c>
      <c r="C65" s="50" t="s">
        <v>117</v>
      </c>
      <c r="D65" s="51">
        <v>618000</v>
      </c>
      <c r="E65" s="52">
        <v>-77200</v>
      </c>
      <c r="F65" s="51">
        <v>540800</v>
      </c>
      <c r="G65" s="51">
        <v>218856.35</v>
      </c>
      <c r="H65" s="51">
        <v>21323.149999000001</v>
      </c>
      <c r="I65" s="51">
        <v>240179.49999899999</v>
      </c>
      <c r="J65" s="51">
        <v>300620.50000100001</v>
      </c>
      <c r="K65" s="53">
        <v>0.44411889792714498</v>
      </c>
      <c r="L65" s="51">
        <v>328622.17333600001</v>
      </c>
      <c r="M65" s="51">
        <v>150210</v>
      </c>
      <c r="N65" s="51">
        <v>478832.17333600001</v>
      </c>
      <c r="O65" s="51">
        <v>40644.676664999999</v>
      </c>
      <c r="P65" s="54">
        <v>0.92484342332655323</v>
      </c>
    </row>
    <row r="66" spans="1:16" ht="15.75" customHeight="1" x14ac:dyDescent="0.25">
      <c r="A66" s="48" t="s">
        <v>141</v>
      </c>
      <c r="B66" s="49" t="s">
        <v>139</v>
      </c>
      <c r="C66" s="50" t="s">
        <v>66</v>
      </c>
      <c r="D66" s="51">
        <v>1108632</v>
      </c>
      <c r="E66" s="51">
        <v>0</v>
      </c>
      <c r="F66" s="51">
        <v>1108632</v>
      </c>
      <c r="G66" s="51">
        <v>631336.43999999994</v>
      </c>
      <c r="H66" s="51">
        <v>0</v>
      </c>
      <c r="I66" s="51">
        <v>631336.43999999994</v>
      </c>
      <c r="J66" s="51">
        <v>477295.56</v>
      </c>
      <c r="K66" s="53">
        <v>0.56947340506137289</v>
      </c>
      <c r="L66" s="51">
        <v>969646.74666599999</v>
      </c>
      <c r="M66" s="51">
        <v>83655</v>
      </c>
      <c r="N66" s="51">
        <v>1053301.746666</v>
      </c>
      <c r="O66" s="51">
        <v>55330.253334000001</v>
      </c>
      <c r="P66" s="54">
        <v>0.95009141596670488</v>
      </c>
    </row>
    <row r="67" spans="1:16" ht="15.75" customHeight="1" x14ac:dyDescent="0.25">
      <c r="A67" s="48" t="s">
        <v>141</v>
      </c>
      <c r="B67" s="49" t="s">
        <v>139</v>
      </c>
      <c r="C67" s="50" t="s">
        <v>67</v>
      </c>
      <c r="D67" s="51">
        <v>45000</v>
      </c>
      <c r="E67" s="51">
        <v>0</v>
      </c>
      <c r="F67" s="51">
        <v>45000</v>
      </c>
      <c r="G67" s="51">
        <v>23185.14</v>
      </c>
      <c r="H67" s="51">
        <v>57958.3</v>
      </c>
      <c r="I67" s="51">
        <v>81143.44</v>
      </c>
      <c r="J67" s="52">
        <v>-36143.440000000002</v>
      </c>
      <c r="K67" s="53">
        <v>1.8031875555555557</v>
      </c>
      <c r="L67" s="51">
        <v>34818.04</v>
      </c>
      <c r="M67" s="51">
        <v>0</v>
      </c>
      <c r="N67" s="51">
        <v>34818.04</v>
      </c>
      <c r="O67" s="52">
        <v>-47776.34</v>
      </c>
      <c r="P67" s="54">
        <v>2.0616964444444443</v>
      </c>
    </row>
    <row r="68" spans="1:16" ht="15.75" customHeight="1" x14ac:dyDescent="0.25">
      <c r="A68" s="48" t="s">
        <v>141</v>
      </c>
      <c r="B68" s="49" t="s">
        <v>139</v>
      </c>
      <c r="C68" s="50" t="s">
        <v>68</v>
      </c>
      <c r="D68" s="51">
        <v>4550619</v>
      </c>
      <c r="E68" s="51">
        <v>0</v>
      </c>
      <c r="F68" s="51">
        <v>4550619</v>
      </c>
      <c r="G68" s="51">
        <v>1119442.52</v>
      </c>
      <c r="H68" s="51">
        <v>261076.51</v>
      </c>
      <c r="I68" s="51">
        <v>1380519.03</v>
      </c>
      <c r="J68" s="51">
        <v>3170099.97</v>
      </c>
      <c r="K68" s="53">
        <v>0.30336950423667636</v>
      </c>
      <c r="L68" s="51">
        <v>2150065.9999799998</v>
      </c>
      <c r="M68" s="51">
        <v>740673</v>
      </c>
      <c r="N68" s="51">
        <v>2890738.9999799998</v>
      </c>
      <c r="O68" s="51">
        <v>1398803.4900199999</v>
      </c>
      <c r="P68" s="54">
        <v>0.69261247974835949</v>
      </c>
    </row>
    <row r="69" spans="1:16" ht="15.75" customHeight="1" x14ac:dyDescent="0.25">
      <c r="A69" s="48" t="s">
        <v>141</v>
      </c>
      <c r="B69" s="49" t="s">
        <v>139</v>
      </c>
      <c r="C69" s="50" t="s">
        <v>69</v>
      </c>
      <c r="D69" s="51">
        <v>180759</v>
      </c>
      <c r="E69" s="51">
        <v>0</v>
      </c>
      <c r="F69" s="51">
        <v>180759</v>
      </c>
      <c r="G69" s="51">
        <v>99881.58</v>
      </c>
      <c r="H69" s="51">
        <v>0</v>
      </c>
      <c r="I69" s="51">
        <v>99881.58</v>
      </c>
      <c r="J69" s="51">
        <v>80877.42</v>
      </c>
      <c r="K69" s="53">
        <v>0.55256767297893883</v>
      </c>
      <c r="L69" s="51">
        <v>102769.843333</v>
      </c>
      <c r="M69" s="51">
        <v>0</v>
      </c>
      <c r="N69" s="51">
        <v>102769.843333</v>
      </c>
      <c r="O69" s="51">
        <v>77989.156667000003</v>
      </c>
      <c r="P69" s="54">
        <v>0.56854620424432534</v>
      </c>
    </row>
    <row r="70" spans="1:16" ht="15.75" customHeight="1" x14ac:dyDescent="0.25">
      <c r="A70" s="48" t="s">
        <v>141</v>
      </c>
      <c r="B70" s="49" t="s">
        <v>139</v>
      </c>
      <c r="C70" s="50" t="s">
        <v>70</v>
      </c>
      <c r="D70" s="51">
        <v>0</v>
      </c>
      <c r="E70" s="51">
        <v>0</v>
      </c>
      <c r="F70" s="51">
        <v>0</v>
      </c>
      <c r="G70" s="51">
        <v>3460.06</v>
      </c>
      <c r="H70" s="51">
        <v>0</v>
      </c>
      <c r="I70" s="51">
        <v>3460.06</v>
      </c>
      <c r="J70" s="52">
        <v>-3460.06</v>
      </c>
      <c r="K70" s="55">
        <v>-1</v>
      </c>
      <c r="L70" s="51">
        <v>5046.0466669999996</v>
      </c>
      <c r="M70" s="51">
        <v>0</v>
      </c>
      <c r="N70" s="51">
        <v>5046.0466669999996</v>
      </c>
      <c r="O70" s="52">
        <v>-5046.0466669999996</v>
      </c>
      <c r="P70" s="58">
        <v>-1</v>
      </c>
    </row>
    <row r="71" spans="1:16" ht="15.75" customHeight="1" x14ac:dyDescent="0.25">
      <c r="A71" s="48" t="s">
        <v>141</v>
      </c>
      <c r="B71" s="49" t="s">
        <v>49</v>
      </c>
      <c r="C71" s="50" t="s">
        <v>51</v>
      </c>
      <c r="D71" s="51">
        <v>158666757</v>
      </c>
      <c r="E71" s="51">
        <v>23892535</v>
      </c>
      <c r="F71" s="51">
        <v>182559292</v>
      </c>
      <c r="G71" s="51">
        <v>78375929.680000007</v>
      </c>
      <c r="H71" s="51">
        <v>2518020.8699969999</v>
      </c>
      <c r="I71" s="51">
        <v>80893950.549997002</v>
      </c>
      <c r="J71" s="51">
        <v>101665341.450003</v>
      </c>
      <c r="K71" s="53">
        <v>0.44311056240290964</v>
      </c>
      <c r="L71" s="51">
        <v>155256620.053285</v>
      </c>
      <c r="M71" s="51">
        <v>10508259.77</v>
      </c>
      <c r="N71" s="51">
        <v>165764879.82328501</v>
      </c>
      <c r="O71" s="51">
        <v>14276391.306717999</v>
      </c>
      <c r="P71" s="54">
        <v>0.92179860498846589</v>
      </c>
    </row>
    <row r="72" spans="1:16" ht="15.75" customHeight="1" x14ac:dyDescent="0.25">
      <c r="A72" s="48" t="s">
        <v>141</v>
      </c>
      <c r="B72" s="49" t="s">
        <v>91</v>
      </c>
      <c r="C72" s="50" t="s">
        <v>92</v>
      </c>
      <c r="D72" s="51">
        <v>6697245</v>
      </c>
      <c r="E72" s="51">
        <v>55166</v>
      </c>
      <c r="F72" s="51">
        <v>6752411</v>
      </c>
      <c r="G72" s="51">
        <v>3083063.34</v>
      </c>
      <c r="H72" s="51">
        <v>15901.83</v>
      </c>
      <c r="I72" s="51">
        <v>3098965.17</v>
      </c>
      <c r="J72" s="51">
        <v>3653445.83</v>
      </c>
      <c r="K72" s="53">
        <v>0.45894202381934396</v>
      </c>
      <c r="L72" s="51">
        <v>6397548.1933319997</v>
      </c>
      <c r="M72" s="52">
        <v>-15000</v>
      </c>
      <c r="N72" s="51">
        <v>6382548.1933319997</v>
      </c>
      <c r="O72" s="51">
        <v>353960.97666799999</v>
      </c>
      <c r="P72" s="54">
        <v>0.94758006041575371</v>
      </c>
    </row>
    <row r="73" spans="1:16" ht="15.75" customHeight="1" x14ac:dyDescent="0.25">
      <c r="A73" s="48" t="s">
        <v>141</v>
      </c>
      <c r="B73" s="49" t="s">
        <v>91</v>
      </c>
      <c r="C73" s="50" t="s">
        <v>93</v>
      </c>
      <c r="D73" s="51">
        <v>368780</v>
      </c>
      <c r="E73" s="51">
        <v>0</v>
      </c>
      <c r="F73" s="51">
        <v>368780</v>
      </c>
      <c r="G73" s="51">
        <v>165845.48000000001</v>
      </c>
      <c r="H73" s="51">
        <v>467194.45</v>
      </c>
      <c r="I73" s="51">
        <v>633039.93000000005</v>
      </c>
      <c r="J73" s="52">
        <v>-264259.93</v>
      </c>
      <c r="K73" s="53">
        <v>1.7165788003687836</v>
      </c>
      <c r="L73" s="51">
        <v>357909.636665</v>
      </c>
      <c r="M73" s="51">
        <v>0</v>
      </c>
      <c r="N73" s="51">
        <v>357909.636665</v>
      </c>
      <c r="O73" s="52">
        <v>-456324.08666500001</v>
      </c>
      <c r="P73" s="54">
        <v>2.237388379697923</v>
      </c>
    </row>
    <row r="74" spans="1:16" ht="15.75" customHeight="1" x14ac:dyDescent="0.25">
      <c r="A74" s="48" t="s">
        <v>141</v>
      </c>
      <c r="B74" s="49" t="s">
        <v>87</v>
      </c>
      <c r="C74" s="50" t="s">
        <v>88</v>
      </c>
      <c r="D74" s="51">
        <v>3246641</v>
      </c>
      <c r="E74" s="51">
        <v>0</v>
      </c>
      <c r="F74" s="51">
        <v>3246641</v>
      </c>
      <c r="G74" s="51">
        <v>1136992.31</v>
      </c>
      <c r="H74" s="51">
        <v>4697.8500000000004</v>
      </c>
      <c r="I74" s="51">
        <v>1141690.1599999999</v>
      </c>
      <c r="J74" s="51">
        <v>2104950.84</v>
      </c>
      <c r="K74" s="53">
        <v>0.35165272661806463</v>
      </c>
      <c r="L74" s="51">
        <v>2292261.6833330002</v>
      </c>
      <c r="M74" s="51">
        <v>0</v>
      </c>
      <c r="N74" s="51">
        <v>2292261.6833330002</v>
      </c>
      <c r="O74" s="51">
        <v>949681.46666699997</v>
      </c>
      <c r="P74" s="54">
        <v>0.70748799554154584</v>
      </c>
    </row>
    <row r="75" spans="1:16" ht="15.75" customHeight="1" x14ac:dyDescent="0.25">
      <c r="A75" s="48" t="s">
        <v>141</v>
      </c>
      <c r="B75" s="57" t="s">
        <v>140</v>
      </c>
      <c r="C75" s="50" t="s">
        <v>102</v>
      </c>
      <c r="D75" s="51">
        <v>139000</v>
      </c>
      <c r="E75" s="51">
        <v>80620</v>
      </c>
      <c r="F75" s="51">
        <v>219620</v>
      </c>
      <c r="G75" s="51">
        <v>24561.46</v>
      </c>
      <c r="H75" s="51">
        <v>1753.71</v>
      </c>
      <c r="I75" s="51">
        <v>26315.17</v>
      </c>
      <c r="J75" s="51">
        <v>193304.83</v>
      </c>
      <c r="K75" s="53">
        <v>0.11982137328112194</v>
      </c>
      <c r="L75" s="51">
        <v>124415.593332</v>
      </c>
      <c r="M75" s="51">
        <v>0</v>
      </c>
      <c r="N75" s="51">
        <v>124415.593332</v>
      </c>
      <c r="O75" s="51">
        <v>93450.696668000004</v>
      </c>
      <c r="P75" s="54">
        <v>0.57448913273836621</v>
      </c>
    </row>
    <row r="76" spans="1:16" ht="15.75" customHeight="1" x14ac:dyDescent="0.25">
      <c r="A76" s="48" t="s">
        <v>141</v>
      </c>
      <c r="B76" s="49" t="s">
        <v>103</v>
      </c>
      <c r="C76" s="50" t="s">
        <v>104</v>
      </c>
      <c r="D76" s="51">
        <v>392712</v>
      </c>
      <c r="E76" s="51">
        <v>0</v>
      </c>
      <c r="F76" s="51">
        <v>392712</v>
      </c>
      <c r="G76" s="51">
        <v>142814.13</v>
      </c>
      <c r="H76" s="51">
        <v>120032.86</v>
      </c>
      <c r="I76" s="51">
        <v>262846.99</v>
      </c>
      <c r="J76" s="51">
        <v>129865.01</v>
      </c>
      <c r="K76" s="53">
        <v>0.66931234594308298</v>
      </c>
      <c r="L76" s="51">
        <v>307294.556667</v>
      </c>
      <c r="M76" s="51">
        <v>0</v>
      </c>
      <c r="N76" s="51">
        <v>307294.556667</v>
      </c>
      <c r="O76" s="52">
        <v>-34615.416666999998</v>
      </c>
      <c r="P76" s="54">
        <v>1.0881445350969667</v>
      </c>
    </row>
    <row r="77" spans="1:16" ht="15.75" customHeight="1" x14ac:dyDescent="0.25">
      <c r="A77" s="48" t="s">
        <v>141</v>
      </c>
      <c r="B77" s="49" t="s">
        <v>98</v>
      </c>
      <c r="C77" s="50" t="s">
        <v>100</v>
      </c>
      <c r="D77" s="51">
        <v>674097</v>
      </c>
      <c r="E77" s="51">
        <v>0</v>
      </c>
      <c r="F77" s="51">
        <v>674097</v>
      </c>
      <c r="G77" s="51">
        <v>167702</v>
      </c>
      <c r="H77" s="51">
        <v>8193.2199999999993</v>
      </c>
      <c r="I77" s="51">
        <v>175895.22</v>
      </c>
      <c r="J77" s="51">
        <v>498201.78</v>
      </c>
      <c r="K77" s="53">
        <v>0.26093458359850291</v>
      </c>
      <c r="L77" s="51">
        <v>395301.21333200001</v>
      </c>
      <c r="M77" s="51">
        <v>0</v>
      </c>
      <c r="N77" s="51">
        <v>395301.21333200001</v>
      </c>
      <c r="O77" s="51">
        <v>270602.56666800001</v>
      </c>
      <c r="P77" s="54">
        <v>0.59857028488778319</v>
      </c>
    </row>
    <row r="78" spans="1:16" ht="15.75" customHeight="1" x14ac:dyDescent="0.25">
      <c r="A78" s="48" t="s">
        <v>141</v>
      </c>
      <c r="B78" s="49" t="s">
        <v>75</v>
      </c>
      <c r="C78" s="50" t="s">
        <v>76</v>
      </c>
      <c r="D78" s="51">
        <v>2994524</v>
      </c>
      <c r="E78" s="51">
        <v>0</v>
      </c>
      <c r="F78" s="51">
        <v>2994524</v>
      </c>
      <c r="G78" s="51">
        <v>1508786.44</v>
      </c>
      <c r="H78" s="51">
        <v>286203.48</v>
      </c>
      <c r="I78" s="51">
        <v>1794989.92</v>
      </c>
      <c r="J78" s="51">
        <v>1199534.0800000001</v>
      </c>
      <c r="K78" s="53">
        <v>0.59942412216432395</v>
      </c>
      <c r="L78" s="51">
        <v>3689155.8599979999</v>
      </c>
      <c r="M78" s="52">
        <v>-716345</v>
      </c>
      <c r="N78" s="51">
        <v>2972810.8599979999</v>
      </c>
      <c r="O78" s="52">
        <v>-264490.33999800001</v>
      </c>
      <c r="P78" s="54">
        <v>1.0883246686278019</v>
      </c>
    </row>
    <row r="79" spans="1:16" ht="15.75" customHeight="1" x14ac:dyDescent="0.25">
      <c r="A79" s="48" t="s">
        <v>141</v>
      </c>
      <c r="B79" s="49" t="s">
        <v>75</v>
      </c>
      <c r="C79" s="50" t="s">
        <v>78</v>
      </c>
      <c r="D79" s="51">
        <v>13500</v>
      </c>
      <c r="E79" s="51">
        <v>0</v>
      </c>
      <c r="F79" s="51">
        <v>13500</v>
      </c>
      <c r="G79" s="51">
        <v>0</v>
      </c>
      <c r="H79" s="51">
        <v>0</v>
      </c>
      <c r="I79" s="51">
        <v>0</v>
      </c>
      <c r="J79" s="51">
        <v>13500</v>
      </c>
      <c r="K79" s="53">
        <v>0</v>
      </c>
      <c r="L79" s="51">
        <v>0</v>
      </c>
      <c r="M79" s="51">
        <v>1528</v>
      </c>
      <c r="N79" s="51">
        <v>1528</v>
      </c>
      <c r="O79" s="51">
        <v>11972</v>
      </c>
      <c r="P79" s="54">
        <v>0.11318518518518518</v>
      </c>
    </row>
    <row r="80" spans="1:16" ht="15.75" customHeight="1" x14ac:dyDescent="0.25">
      <c r="A80" s="48" t="s">
        <v>141</v>
      </c>
      <c r="B80" s="49" t="s">
        <v>75</v>
      </c>
      <c r="C80" s="50" t="s">
        <v>79</v>
      </c>
      <c r="D80" s="51">
        <v>1184877</v>
      </c>
      <c r="E80" s="51">
        <v>0</v>
      </c>
      <c r="F80" s="51">
        <v>1184877</v>
      </c>
      <c r="G80" s="51">
        <v>261340.46</v>
      </c>
      <c r="H80" s="51">
        <v>0</v>
      </c>
      <c r="I80" s="51">
        <v>261340.46</v>
      </c>
      <c r="J80" s="51">
        <v>923536.54</v>
      </c>
      <c r="K80" s="53">
        <v>0.22056336649289335</v>
      </c>
      <c r="L80" s="51">
        <v>1357039.3333340001</v>
      </c>
      <c r="M80" s="51">
        <v>0</v>
      </c>
      <c r="N80" s="51">
        <v>1357039.3333340001</v>
      </c>
      <c r="O80" s="52">
        <v>-172162.333334</v>
      </c>
      <c r="P80" s="54">
        <v>1.1452997512264986</v>
      </c>
    </row>
    <row r="81" spans="1:16" ht="15.75" customHeight="1" x14ac:dyDescent="0.25">
      <c r="A81" s="48" t="s">
        <v>141</v>
      </c>
      <c r="B81" s="49" t="s">
        <v>75</v>
      </c>
      <c r="C81" s="50" t="s">
        <v>80</v>
      </c>
      <c r="D81" s="51">
        <v>8162</v>
      </c>
      <c r="E81" s="51">
        <v>0</v>
      </c>
      <c r="F81" s="51">
        <v>8162</v>
      </c>
      <c r="G81" s="51">
        <v>0</v>
      </c>
      <c r="H81" s="51">
        <v>0</v>
      </c>
      <c r="I81" s="51">
        <v>0</v>
      </c>
      <c r="J81" s="51">
        <v>8162</v>
      </c>
      <c r="K81" s="53">
        <v>0</v>
      </c>
      <c r="L81" s="51">
        <v>0</v>
      </c>
      <c r="M81" s="51">
        <v>0</v>
      </c>
      <c r="N81" s="51">
        <v>0</v>
      </c>
      <c r="O81" s="51">
        <v>8162</v>
      </c>
      <c r="P81" s="54">
        <v>0</v>
      </c>
    </row>
    <row r="82" spans="1:16" ht="15.75" customHeight="1" x14ac:dyDescent="0.25">
      <c r="A82" s="48" t="s">
        <v>141</v>
      </c>
      <c r="B82" s="49" t="s">
        <v>75</v>
      </c>
      <c r="C82" s="50" t="s">
        <v>81</v>
      </c>
      <c r="D82" s="51">
        <v>442444</v>
      </c>
      <c r="E82" s="51">
        <v>0</v>
      </c>
      <c r="F82" s="51">
        <v>442444</v>
      </c>
      <c r="G82" s="51">
        <v>50633.47</v>
      </c>
      <c r="H82" s="51">
        <v>0</v>
      </c>
      <c r="I82" s="51">
        <v>50633.47</v>
      </c>
      <c r="J82" s="51">
        <v>391810.53</v>
      </c>
      <c r="K82" s="53">
        <v>0.11444040375731165</v>
      </c>
      <c r="L82" s="51">
        <v>525397.36666499998</v>
      </c>
      <c r="M82" s="51">
        <v>0</v>
      </c>
      <c r="N82" s="51">
        <v>525397.36666499998</v>
      </c>
      <c r="O82" s="52">
        <v>-82953.366664999994</v>
      </c>
      <c r="P82" s="54">
        <v>1.1874889628178933</v>
      </c>
    </row>
    <row r="83" spans="1:16" ht="15.75" customHeight="1" x14ac:dyDescent="0.25">
      <c r="A83" s="48" t="s">
        <v>141</v>
      </c>
      <c r="B83" s="49" t="s">
        <v>75</v>
      </c>
      <c r="C83" s="50" t="s">
        <v>82</v>
      </c>
      <c r="D83" s="51">
        <v>64255</v>
      </c>
      <c r="E83" s="51">
        <v>0</v>
      </c>
      <c r="F83" s="51">
        <v>64255</v>
      </c>
      <c r="G83" s="51">
        <v>0</v>
      </c>
      <c r="H83" s="51">
        <v>0</v>
      </c>
      <c r="I83" s="51">
        <v>0</v>
      </c>
      <c r="J83" s="51">
        <v>64255</v>
      </c>
      <c r="K83" s="53">
        <v>0</v>
      </c>
      <c r="L83" s="51">
        <v>1200</v>
      </c>
      <c r="M83" s="51">
        <v>57505</v>
      </c>
      <c r="N83" s="51">
        <v>58705</v>
      </c>
      <c r="O83" s="51">
        <v>5550</v>
      </c>
      <c r="P83" s="54">
        <v>0.91362539880164972</v>
      </c>
    </row>
    <row r="84" spans="1:16" ht="15.75" customHeight="1" x14ac:dyDescent="0.25">
      <c r="A84" s="48" t="s">
        <v>141</v>
      </c>
      <c r="B84" s="49" t="s">
        <v>75</v>
      </c>
      <c r="C84" s="50" t="s">
        <v>83</v>
      </c>
      <c r="D84" s="51">
        <v>0</v>
      </c>
      <c r="E84" s="51">
        <v>721655</v>
      </c>
      <c r="F84" s="51">
        <v>721655</v>
      </c>
      <c r="G84" s="51">
        <v>17383.7</v>
      </c>
      <c r="H84" s="51">
        <v>0</v>
      </c>
      <c r="I84" s="51">
        <v>17383.7</v>
      </c>
      <c r="J84" s="51">
        <v>704271.3</v>
      </c>
      <c r="K84" s="53">
        <v>2.4088657322404752E-2</v>
      </c>
      <c r="L84" s="51">
        <v>23320.033331999999</v>
      </c>
      <c r="M84" s="51">
        <v>0</v>
      </c>
      <c r="N84" s="51">
        <v>23320.033331999999</v>
      </c>
      <c r="O84" s="51">
        <v>698334.96666799998</v>
      </c>
      <c r="P84" s="54">
        <v>3.2314656355183574E-2</v>
      </c>
    </row>
    <row r="85" spans="1:16" ht="15.75" customHeight="1" x14ac:dyDescent="0.25">
      <c r="A85" s="48" t="s">
        <v>141</v>
      </c>
      <c r="B85" s="49" t="s">
        <v>94</v>
      </c>
      <c r="C85" s="50" t="s">
        <v>95</v>
      </c>
      <c r="D85" s="51">
        <v>367000</v>
      </c>
      <c r="E85" s="51">
        <v>0</v>
      </c>
      <c r="F85" s="51">
        <v>367000</v>
      </c>
      <c r="G85" s="51">
        <v>16990.27</v>
      </c>
      <c r="H85" s="51">
        <v>0</v>
      </c>
      <c r="I85" s="51">
        <v>16990.27</v>
      </c>
      <c r="J85" s="51">
        <v>350009.73</v>
      </c>
      <c r="K85" s="53">
        <v>4.6295013623978198E-2</v>
      </c>
      <c r="L85" s="51">
        <v>25529.536666</v>
      </c>
      <c r="M85" s="51">
        <v>0</v>
      </c>
      <c r="N85" s="51">
        <v>25529.536666</v>
      </c>
      <c r="O85" s="51">
        <v>341470.46333399997</v>
      </c>
      <c r="P85" s="54">
        <v>6.9562770207084471E-2</v>
      </c>
    </row>
    <row r="86" spans="1:16" ht="15.75" customHeight="1" x14ac:dyDescent="0.25">
      <c r="A86" s="48" t="s">
        <v>141</v>
      </c>
      <c r="B86" s="49" t="s">
        <v>15</v>
      </c>
      <c r="C86" s="50" t="s">
        <v>84</v>
      </c>
      <c r="D86" s="51">
        <v>879583</v>
      </c>
      <c r="E86" s="51">
        <v>0</v>
      </c>
      <c r="F86" s="51">
        <v>879583</v>
      </c>
      <c r="G86" s="51">
        <v>430008.99</v>
      </c>
      <c r="H86" s="51">
        <v>12460</v>
      </c>
      <c r="I86" s="51">
        <v>442468.99</v>
      </c>
      <c r="J86" s="51">
        <v>437114.01</v>
      </c>
      <c r="K86" s="53">
        <v>0.50304404473483455</v>
      </c>
      <c r="L86" s="51">
        <v>874463.83</v>
      </c>
      <c r="M86" s="51">
        <v>10948</v>
      </c>
      <c r="N86" s="51">
        <v>885411.83</v>
      </c>
      <c r="O86" s="52">
        <v>-18288.830000000002</v>
      </c>
      <c r="P86" s="54">
        <v>1.0207926142274237</v>
      </c>
    </row>
    <row r="87" spans="1:16" ht="15.75" customHeight="1" x14ac:dyDescent="0.25">
      <c r="A87" s="48" t="s">
        <v>141</v>
      </c>
      <c r="B87" s="49" t="s">
        <v>15</v>
      </c>
      <c r="C87" s="50" t="s">
        <v>85</v>
      </c>
      <c r="D87" s="51">
        <v>98792</v>
      </c>
      <c r="E87" s="51">
        <v>0</v>
      </c>
      <c r="F87" s="51">
        <v>98792</v>
      </c>
      <c r="G87" s="51">
        <v>34920.379999999997</v>
      </c>
      <c r="H87" s="51">
        <v>10625</v>
      </c>
      <c r="I87" s="51">
        <v>45545.38</v>
      </c>
      <c r="J87" s="51">
        <v>53246.62</v>
      </c>
      <c r="K87" s="53">
        <v>0.46102295732447973</v>
      </c>
      <c r="L87" s="51">
        <v>67308.83</v>
      </c>
      <c r="M87" s="51">
        <v>20858</v>
      </c>
      <c r="N87" s="51">
        <v>88166.83</v>
      </c>
      <c r="O87" s="51">
        <v>0.17</v>
      </c>
      <c r="P87" s="54">
        <v>0.99999827921289175</v>
      </c>
    </row>
    <row r="88" spans="1:16" ht="15.75" customHeight="1" x14ac:dyDescent="0.25">
      <c r="A88" s="48" t="s">
        <v>141</v>
      </c>
      <c r="B88" s="49" t="s">
        <v>15</v>
      </c>
      <c r="C88" s="50" t="s">
        <v>86</v>
      </c>
      <c r="D88" s="51">
        <v>201400</v>
      </c>
      <c r="E88" s="51">
        <v>0</v>
      </c>
      <c r="F88" s="51">
        <v>201400</v>
      </c>
      <c r="G88" s="51">
        <v>38262.720000000001</v>
      </c>
      <c r="H88" s="51">
        <v>774.03</v>
      </c>
      <c r="I88" s="51">
        <v>39036.75</v>
      </c>
      <c r="J88" s="51">
        <v>162363.25</v>
      </c>
      <c r="K88" s="53">
        <v>0.19382696127110227</v>
      </c>
      <c r="L88" s="51">
        <v>49359.126666999997</v>
      </c>
      <c r="M88" s="51">
        <v>155877</v>
      </c>
      <c r="N88" s="51">
        <v>205236.126667</v>
      </c>
      <c r="O88" s="52">
        <v>-4610.1566670000002</v>
      </c>
      <c r="P88" s="54">
        <v>1.02289054948858</v>
      </c>
    </row>
    <row r="89" spans="1:16" ht="15.75" customHeight="1" x14ac:dyDescent="0.25">
      <c r="A89" s="48" t="s">
        <v>141</v>
      </c>
      <c r="B89" s="49" t="s">
        <v>112</v>
      </c>
      <c r="C89" s="50" t="s">
        <v>113</v>
      </c>
      <c r="D89" s="51">
        <v>74713</v>
      </c>
      <c r="E89" s="51">
        <v>0</v>
      </c>
      <c r="F89" s="51">
        <v>74713</v>
      </c>
      <c r="G89" s="51">
        <v>27254.06</v>
      </c>
      <c r="H89" s="51">
        <v>52481.83</v>
      </c>
      <c r="I89" s="51">
        <v>79735.89</v>
      </c>
      <c r="J89" s="52">
        <v>-5022.8900000000003</v>
      </c>
      <c r="K89" s="53">
        <v>1.0672291301379948</v>
      </c>
      <c r="L89" s="51">
        <v>52095.93</v>
      </c>
      <c r="M89" s="51">
        <v>0</v>
      </c>
      <c r="N89" s="51">
        <v>52095.93</v>
      </c>
      <c r="O89" s="52">
        <v>-29864.76</v>
      </c>
      <c r="P89" s="54">
        <v>1.3997264197663057</v>
      </c>
    </row>
    <row r="90" spans="1:16" ht="15.75" customHeight="1" x14ac:dyDescent="0.25">
      <c r="A90" s="48" t="s">
        <v>141</v>
      </c>
      <c r="B90" s="49" t="s">
        <v>112</v>
      </c>
      <c r="C90" s="50" t="s">
        <v>114</v>
      </c>
      <c r="D90" s="51">
        <v>969000</v>
      </c>
      <c r="E90" s="51">
        <v>0</v>
      </c>
      <c r="F90" s="51">
        <v>969000</v>
      </c>
      <c r="G90" s="51">
        <v>256923.01</v>
      </c>
      <c r="H90" s="51">
        <v>5892.81</v>
      </c>
      <c r="I90" s="51">
        <v>262815.82</v>
      </c>
      <c r="J90" s="51">
        <v>706184.18</v>
      </c>
      <c r="K90" s="53">
        <v>0.27122375644994839</v>
      </c>
      <c r="L90" s="51">
        <v>538480.75999799999</v>
      </c>
      <c r="M90" s="51">
        <v>0</v>
      </c>
      <c r="N90" s="51">
        <v>538480.75999799999</v>
      </c>
      <c r="O90" s="51">
        <v>424626.43000200001</v>
      </c>
      <c r="P90" s="54">
        <v>0.56178902992569657</v>
      </c>
    </row>
    <row r="91" spans="1:16" ht="15.75" customHeight="1" x14ac:dyDescent="0.25">
      <c r="A91" s="48" t="s">
        <v>141</v>
      </c>
      <c r="B91" s="49" t="s">
        <v>105</v>
      </c>
      <c r="C91" s="50" t="s">
        <v>107</v>
      </c>
      <c r="D91" s="51">
        <v>30000</v>
      </c>
      <c r="E91" s="51">
        <v>0</v>
      </c>
      <c r="F91" s="51">
        <v>30000</v>
      </c>
      <c r="G91" s="51">
        <v>9500</v>
      </c>
      <c r="H91" s="51">
        <v>0</v>
      </c>
      <c r="I91" s="51">
        <v>9500</v>
      </c>
      <c r="J91" s="51">
        <v>20500</v>
      </c>
      <c r="K91" s="53">
        <v>0.31666666666666665</v>
      </c>
      <c r="L91" s="51">
        <v>22000</v>
      </c>
      <c r="M91" s="51">
        <v>0</v>
      </c>
      <c r="N91" s="51">
        <v>22000</v>
      </c>
      <c r="O91" s="51">
        <v>8000</v>
      </c>
      <c r="P91" s="54">
        <v>0.73333333333333328</v>
      </c>
    </row>
    <row r="92" spans="1:16" ht="15.75" customHeight="1" x14ac:dyDescent="0.25">
      <c r="A92" s="48" t="s">
        <v>141</v>
      </c>
      <c r="B92" s="49" t="s">
        <v>105</v>
      </c>
      <c r="C92" s="50" t="s">
        <v>108</v>
      </c>
      <c r="D92" s="51">
        <v>756000</v>
      </c>
      <c r="E92" s="51">
        <v>200227</v>
      </c>
      <c r="F92" s="51">
        <v>956227</v>
      </c>
      <c r="G92" s="51">
        <v>331020.03999999998</v>
      </c>
      <c r="H92" s="51">
        <v>0</v>
      </c>
      <c r="I92" s="51">
        <v>331020.03999999998</v>
      </c>
      <c r="J92" s="51">
        <v>625206.96</v>
      </c>
      <c r="K92" s="53">
        <v>0.3461730739667464</v>
      </c>
      <c r="L92" s="51">
        <v>740607.21</v>
      </c>
      <c r="M92" s="51">
        <v>0</v>
      </c>
      <c r="N92" s="51">
        <v>740607.21</v>
      </c>
      <c r="O92" s="51">
        <v>215619.79</v>
      </c>
      <c r="P92" s="54">
        <v>0.77450982873313556</v>
      </c>
    </row>
    <row r="93" spans="1:16" ht="15.75" customHeight="1" x14ac:dyDescent="0.25">
      <c r="A93" s="48" t="s">
        <v>141</v>
      </c>
      <c r="B93" s="49" t="s">
        <v>105</v>
      </c>
      <c r="C93" s="50" t="s">
        <v>109</v>
      </c>
      <c r="D93" s="51">
        <v>100000</v>
      </c>
      <c r="E93" s="51">
        <v>313770</v>
      </c>
      <c r="F93" s="51">
        <v>413770</v>
      </c>
      <c r="G93" s="51">
        <v>33873.160000000003</v>
      </c>
      <c r="H93" s="51">
        <v>0</v>
      </c>
      <c r="I93" s="51">
        <v>33873.160000000003</v>
      </c>
      <c r="J93" s="51">
        <v>379896.84</v>
      </c>
      <c r="K93" s="53">
        <v>8.1864707446165738E-2</v>
      </c>
      <c r="L93" s="51">
        <v>94003.913333000004</v>
      </c>
      <c r="M93" s="51">
        <v>0</v>
      </c>
      <c r="N93" s="51">
        <v>94003.913333000004</v>
      </c>
      <c r="O93" s="51">
        <v>319766.08666700003</v>
      </c>
      <c r="P93" s="54">
        <v>0.22718880859656332</v>
      </c>
    </row>
    <row r="94" spans="1:16" ht="15.75" customHeight="1" x14ac:dyDescent="0.25">
      <c r="A94" s="48" t="s">
        <v>141</v>
      </c>
      <c r="B94" s="49" t="s">
        <v>105</v>
      </c>
      <c r="C94" s="50" t="s">
        <v>110</v>
      </c>
      <c r="D94" s="51">
        <v>75000</v>
      </c>
      <c r="E94" s="51">
        <v>43263</v>
      </c>
      <c r="F94" s="51">
        <v>118263</v>
      </c>
      <c r="G94" s="51">
        <v>9596.16</v>
      </c>
      <c r="H94" s="51">
        <v>0</v>
      </c>
      <c r="I94" s="51">
        <v>9596.16</v>
      </c>
      <c r="J94" s="51">
        <v>108666.84</v>
      </c>
      <c r="K94" s="53">
        <v>8.1142538241039036E-2</v>
      </c>
      <c r="L94" s="51">
        <v>40819.099998999998</v>
      </c>
      <c r="M94" s="51">
        <v>0</v>
      </c>
      <c r="N94" s="51">
        <v>40819.099998999998</v>
      </c>
      <c r="O94" s="51">
        <v>77443.900001000002</v>
      </c>
      <c r="P94" s="54">
        <v>0.34515528947346169</v>
      </c>
    </row>
    <row r="95" spans="1:16" ht="15.75" customHeight="1" x14ac:dyDescent="0.25">
      <c r="A95" s="48" t="s">
        <v>141</v>
      </c>
      <c r="B95" s="49" t="s">
        <v>105</v>
      </c>
      <c r="C95" s="50" t="s">
        <v>111</v>
      </c>
      <c r="D95" s="51">
        <v>2000</v>
      </c>
      <c r="E95" s="51">
        <v>0</v>
      </c>
      <c r="F95" s="51">
        <v>2000</v>
      </c>
      <c r="G95" s="51">
        <v>0</v>
      </c>
      <c r="H95" s="51">
        <v>0</v>
      </c>
      <c r="I95" s="51">
        <v>0</v>
      </c>
      <c r="J95" s="51">
        <v>2000</v>
      </c>
      <c r="K95" s="53">
        <v>0</v>
      </c>
      <c r="L95" s="51">
        <v>0</v>
      </c>
      <c r="M95" s="51">
        <v>0</v>
      </c>
      <c r="N95" s="51">
        <v>0</v>
      </c>
      <c r="O95" s="51">
        <v>2000</v>
      </c>
      <c r="P95" s="54">
        <v>0</v>
      </c>
    </row>
    <row r="96" spans="1:16" ht="15.75" customHeight="1" x14ac:dyDescent="0.25">
      <c r="A96" s="48" t="s">
        <v>141</v>
      </c>
      <c r="B96" s="49" t="s">
        <v>72</v>
      </c>
      <c r="C96" s="50" t="s">
        <v>73</v>
      </c>
      <c r="D96" s="51">
        <v>292558</v>
      </c>
      <c r="E96" s="51">
        <v>0</v>
      </c>
      <c r="F96" s="51">
        <v>292558</v>
      </c>
      <c r="G96" s="51">
        <v>197602.71</v>
      </c>
      <c r="H96" s="51">
        <v>73440</v>
      </c>
      <c r="I96" s="51">
        <v>271042.71000000002</v>
      </c>
      <c r="J96" s="51">
        <v>21515.29</v>
      </c>
      <c r="K96" s="53">
        <v>0.92645803567155915</v>
      </c>
      <c r="L96" s="51">
        <v>364845.58</v>
      </c>
      <c r="M96" s="52">
        <v>-75205</v>
      </c>
      <c r="N96" s="51">
        <v>289640.58</v>
      </c>
      <c r="O96" s="52">
        <v>-70522.58</v>
      </c>
      <c r="P96" s="54">
        <v>1.2410550386590009</v>
      </c>
    </row>
    <row r="97" spans="1:16" ht="15.75" customHeight="1" x14ac:dyDescent="0.25">
      <c r="A97" s="48" t="s">
        <v>141</v>
      </c>
      <c r="B97" s="49" t="s">
        <v>72</v>
      </c>
      <c r="C97" s="50" t="s">
        <v>74</v>
      </c>
      <c r="D97" s="51">
        <v>97250</v>
      </c>
      <c r="E97" s="51">
        <v>0</v>
      </c>
      <c r="F97" s="51">
        <v>97250</v>
      </c>
      <c r="G97" s="51">
        <v>75489.87</v>
      </c>
      <c r="H97" s="51">
        <v>163651.1</v>
      </c>
      <c r="I97" s="51">
        <v>239140.97</v>
      </c>
      <c r="J97" s="52">
        <v>-141890.97</v>
      </c>
      <c r="K97" s="53">
        <v>2.459033110539846</v>
      </c>
      <c r="L97" s="51">
        <v>114748.32000199999</v>
      </c>
      <c r="M97" s="51">
        <v>18834</v>
      </c>
      <c r="N97" s="51">
        <v>133582.32000199999</v>
      </c>
      <c r="O97" s="52">
        <v>-199983.420002</v>
      </c>
      <c r="P97" s="54">
        <v>3.0563847815115683</v>
      </c>
    </row>
    <row r="98" spans="1:16" ht="15.75" customHeight="1" x14ac:dyDescent="0.25">
      <c r="A98" s="59"/>
    </row>
    <row r="99" spans="1:16" ht="15.75" customHeight="1" x14ac:dyDescent="0.25"/>
    <row r="100" spans="1:16" ht="15.75" customHeight="1" x14ac:dyDescent="0.25"/>
    <row r="101" spans="1:16" ht="15.75" customHeight="1" x14ac:dyDescent="0.25"/>
    <row r="102" spans="1:16" ht="15.75" customHeight="1" x14ac:dyDescent="0.25"/>
    <row r="103" spans="1:16" ht="15.75" customHeight="1" x14ac:dyDescent="0.25"/>
    <row r="104" spans="1:16" ht="15.75" customHeight="1" x14ac:dyDescent="0.25"/>
    <row r="105" spans="1:16" ht="15.75" customHeight="1" x14ac:dyDescent="0.25"/>
    <row r="106" spans="1:16" ht="15.75" customHeight="1" x14ac:dyDescent="0.25"/>
    <row r="107" spans="1:16" ht="15.75" customHeight="1" x14ac:dyDescent="0.25"/>
    <row r="108" spans="1:16" ht="15.75" customHeight="1" x14ac:dyDescent="0.25"/>
    <row r="109" spans="1:16" ht="15.75" customHeight="1" x14ac:dyDescent="0.25"/>
    <row r="110" spans="1:16" ht="15.75" customHeight="1" x14ac:dyDescent="0.25"/>
    <row r="111" spans="1:16" ht="15.75" customHeight="1" x14ac:dyDescent="0.25"/>
    <row r="112" spans="1:16"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Glossary</vt:lpstr>
      <vt:lpstr>Current Year Projections</vt:lpstr>
      <vt:lpstr>Projected YE Balances</vt:lpstr>
      <vt:lpstr>Data.</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Gabriel A Munoz</cp:lastModifiedBy>
  <dcterms:modified xsi:type="dcterms:W3CDTF">2025-06-11T18:48:32Z</dcterms:modified>
</cp:coreProperties>
</file>